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90" windowWidth="8460" windowHeight="8070" tabRatio="743"/>
  </bookViews>
  <sheets>
    <sheet name="Appendix 1" sheetId="23" r:id="rId1"/>
    <sheet name="Appendix 2" sheetId="31" r:id="rId2"/>
    <sheet name="Appendix 3" sheetId="26" r:id="rId3"/>
    <sheet name="Appendix 4a" sheetId="33" r:id="rId4"/>
    <sheet name="Appendix 4b" sheetId="34" r:id="rId5"/>
    <sheet name="Appendix 4c" sheetId="35" r:id="rId6"/>
    <sheet name="Appendix 5" sheetId="32" r:id="rId7"/>
    <sheet name="PCT Format" sheetId="12" state="hidden" r:id="rId8"/>
    <sheet name="Summ £m" sheetId="13" state="hidden" r:id="rId9"/>
    <sheet name="Sheet1" sheetId="14" state="hidden" r:id="rId10"/>
    <sheet name="Sheet2" sheetId="15" state="hidden" r:id="rId11"/>
    <sheet name="Sheet3" sheetId="24" state="hidden" r:id="rId12"/>
  </sheets>
  <externalReferences>
    <externalReference r:id="rId13"/>
  </externalReferences>
  <definedNames>
    <definedName name="_xlnm._FilterDatabase" localSheetId="7" hidden="1">'PCT Format'!$A$5:$EA$55</definedName>
    <definedName name="_xlnm.Print_Area" localSheetId="0">'Appendix 1'!$B$41:$U$82</definedName>
    <definedName name="_xlnm.Print_Area" localSheetId="1">'Appendix 2'!$B$3:$F$47</definedName>
    <definedName name="_xlnm.Print_Area" localSheetId="2">'Appendix 3'!$B$1:$I$46</definedName>
    <definedName name="_xlnm.Print_Area" localSheetId="5">'Appendix 4c'!$A$1:$E$26</definedName>
    <definedName name="_xlnm.Print_Area" localSheetId="7">'PCT Format'!$B$5:$AW$205</definedName>
    <definedName name="_xlnm.Print_Area" localSheetId="10">Sheet2!$B$3:$H$23</definedName>
    <definedName name="_xlnm.Print_Area" localSheetId="8">'Summ £m'!$B$7:$J$42</definedName>
    <definedName name="_xlnm.Print_Titles" localSheetId="7">'PCT Format'!$B:$C,'PCT Format'!$1:$5</definedName>
  </definedNames>
  <calcPr calcId="145621"/>
</workbook>
</file>

<file path=xl/calcChain.xml><?xml version="1.0" encoding="utf-8"?>
<calcChain xmlns="http://schemas.openxmlformats.org/spreadsheetml/2006/main">
  <c r="E46" i="26" l="1"/>
  <c r="E20" i="35" l="1"/>
  <c r="E9" i="35"/>
  <c r="C22" i="35"/>
  <c r="C20" i="35"/>
  <c r="C9" i="35"/>
  <c r="E22" i="35" l="1"/>
  <c r="G23" i="32" l="1"/>
  <c r="F23" i="32"/>
  <c r="E23" i="32"/>
  <c r="D23" i="32"/>
  <c r="C23" i="32"/>
  <c r="G49" i="23" l="1"/>
  <c r="I59" i="23"/>
  <c r="G61" i="23"/>
  <c r="G64" i="23"/>
  <c r="F17" i="31" l="1"/>
  <c r="E18" i="31"/>
  <c r="D18" i="31"/>
  <c r="H21" i="26"/>
  <c r="I19" i="26"/>
  <c r="F19" i="26"/>
  <c r="I17" i="26"/>
  <c r="I18" i="26"/>
  <c r="F17" i="26"/>
  <c r="F18" i="26"/>
  <c r="F9" i="31"/>
  <c r="F10" i="31"/>
  <c r="F11" i="31"/>
  <c r="F12" i="31"/>
  <c r="F13" i="31"/>
  <c r="F14" i="31"/>
  <c r="F15" i="31"/>
  <c r="F16" i="31"/>
  <c r="F21" i="31"/>
  <c r="F22" i="31"/>
  <c r="D23" i="31"/>
  <c r="E23" i="31"/>
  <c r="F23" i="31"/>
  <c r="F26" i="31"/>
  <c r="F27" i="31"/>
  <c r="F28" i="31"/>
  <c r="D30" i="31"/>
  <c r="F29" i="31"/>
  <c r="E30" i="31"/>
  <c r="F32" i="31"/>
  <c r="F35" i="31"/>
  <c r="F36" i="31"/>
  <c r="D39" i="31"/>
  <c r="F38" i="31"/>
  <c r="E39" i="31"/>
  <c r="F43" i="31"/>
  <c r="F44" i="31"/>
  <c r="D45" i="31"/>
  <c r="E45" i="31"/>
  <c r="C61" i="23"/>
  <c r="F45" i="31" l="1"/>
  <c r="F18" i="31"/>
  <c r="F37" i="31"/>
  <c r="F39" i="31" s="1"/>
  <c r="E41" i="31"/>
  <c r="D41" i="31"/>
  <c r="D46" i="31" s="1"/>
  <c r="D47" i="31" s="1"/>
  <c r="F30" i="31"/>
  <c r="F41" i="31" l="1"/>
  <c r="F46" i="31" s="1"/>
  <c r="F47" i="31" s="1"/>
  <c r="I58" i="23"/>
  <c r="I65" i="23"/>
  <c r="I25" i="26"/>
  <c r="G34" i="26"/>
  <c r="F28" i="26"/>
  <c r="F26" i="26"/>
  <c r="F15" i="26"/>
  <c r="F42" i="26"/>
  <c r="F40" i="26"/>
  <c r="F39" i="26"/>
  <c r="F38" i="26"/>
  <c r="F33" i="26"/>
  <c r="F25" i="26"/>
  <c r="F23" i="26"/>
  <c r="I28" i="26"/>
  <c r="I29" i="26"/>
  <c r="F41" i="26"/>
  <c r="F43" i="26"/>
  <c r="F29" i="26"/>
  <c r="F16" i="26"/>
  <c r="E45" i="26"/>
  <c r="J35" i="26"/>
  <c r="K35" i="26"/>
  <c r="L35" i="26"/>
  <c r="E34" i="26"/>
  <c r="H34" i="26"/>
  <c r="G30" i="26"/>
  <c r="H30" i="26"/>
  <c r="C30" i="26"/>
  <c r="C34" i="26" s="1"/>
  <c r="F14" i="26"/>
  <c r="C6" i="26"/>
  <c r="D21" i="26"/>
  <c r="I41" i="26"/>
  <c r="I16" i="26"/>
  <c r="I39" i="26"/>
  <c r="C9" i="26"/>
  <c r="I44" i="26"/>
  <c r="I42" i="26"/>
  <c r="I43" i="26"/>
  <c r="I40" i="26"/>
  <c r="I38" i="26"/>
  <c r="I15" i="26"/>
  <c r="I27" i="26"/>
  <c r="I14" i="26"/>
  <c r="I23" i="26"/>
  <c r="I24" i="26"/>
  <c r="I26" i="26"/>
  <c r="I33" i="26"/>
  <c r="F44" i="26"/>
  <c r="H45" i="26"/>
  <c r="G45" i="26"/>
  <c r="D45" i="26"/>
  <c r="C45" i="26"/>
  <c r="C14" i="26"/>
  <c r="I13" i="26"/>
  <c r="I32" i="26"/>
  <c r="E47" i="23"/>
  <c r="E50" i="23"/>
  <c r="I52" i="23"/>
  <c r="D54" i="23"/>
  <c r="AP145" i="12"/>
  <c r="AY145" i="12"/>
  <c r="BB145" i="12"/>
  <c r="BC145" i="12"/>
  <c r="AW145" i="12"/>
  <c r="AP144" i="12"/>
  <c r="AY144" i="12"/>
  <c r="BB144" i="12"/>
  <c r="BC144" i="12"/>
  <c r="AW144" i="12"/>
  <c r="AP143" i="12"/>
  <c r="AY143" i="12"/>
  <c r="BB143" i="12"/>
  <c r="BC143" i="12"/>
  <c r="AW143" i="12"/>
  <c r="AP79" i="12"/>
  <c r="AY79" i="12"/>
  <c r="BB79" i="12"/>
  <c r="BC79" i="12"/>
  <c r="AW79" i="12"/>
  <c r="CD192" i="12"/>
  <c r="AP188" i="12"/>
  <c r="AP189" i="12"/>
  <c r="AO190" i="12"/>
  <c r="AP190" i="12"/>
  <c r="BH188" i="12"/>
  <c r="BH189" i="12"/>
  <c r="BY188" i="12" s="1"/>
  <c r="AP182" i="12"/>
  <c r="AY182" i="12"/>
  <c r="BB182" i="12"/>
  <c r="BC182" i="12"/>
  <c r="S6" i="12"/>
  <c r="T6" i="12"/>
  <c r="AC6" i="12"/>
  <c r="AI6" i="12"/>
  <c r="AP6" i="12"/>
  <c r="AY6" i="12"/>
  <c r="AZ6" i="12"/>
  <c r="BA6" i="12"/>
  <c r="BB6" i="12"/>
  <c r="BH6" i="12" s="1"/>
  <c r="BC6" i="12"/>
  <c r="T7" i="12"/>
  <c r="AI7" i="12"/>
  <c r="AP7" i="12"/>
  <c r="AY7" i="12"/>
  <c r="BB7" i="12"/>
  <c r="BH7" i="12" s="1"/>
  <c r="BC7" i="12"/>
  <c r="T8" i="12"/>
  <c r="AI8" i="12"/>
  <c r="AP8" i="12"/>
  <c r="AY8" i="12"/>
  <c r="BB8" i="12"/>
  <c r="BH8" i="12" s="1"/>
  <c r="BC8" i="12"/>
  <c r="T9" i="12"/>
  <c r="AI9" i="12"/>
  <c r="AP9" i="12"/>
  <c r="AY9" i="12"/>
  <c r="BB9" i="12"/>
  <c r="BH9" i="12" s="1"/>
  <c r="BC9" i="12"/>
  <c r="S10" i="12"/>
  <c r="T10" i="12"/>
  <c r="AC10" i="12"/>
  <c r="AI10" i="12"/>
  <c r="AP10" i="12"/>
  <c r="AY10" i="12"/>
  <c r="BA10" i="12"/>
  <c r="BB10" i="12"/>
  <c r="BC10" i="12"/>
  <c r="H11" i="12"/>
  <c r="J11" i="12"/>
  <c r="K11" i="12"/>
  <c r="S11" i="12"/>
  <c r="T11" i="12"/>
  <c r="AC11" i="12"/>
  <c r="AI11" i="12"/>
  <c r="AP11" i="12"/>
  <c r="AY11" i="12"/>
  <c r="BA11" i="12"/>
  <c r="BB11" i="12"/>
  <c r="BC11" i="12"/>
  <c r="S12" i="12"/>
  <c r="T12" i="12"/>
  <c r="AC12" i="12"/>
  <c r="AI12" i="12"/>
  <c r="AP12" i="12"/>
  <c r="AY12" i="12"/>
  <c r="BA12" i="12"/>
  <c r="BB12" i="12"/>
  <c r="BH12" i="12" s="1"/>
  <c r="BC12" i="12"/>
  <c r="S13" i="12"/>
  <c r="T13" i="12"/>
  <c r="AC13" i="12"/>
  <c r="AI13" i="12"/>
  <c r="AP13" i="12"/>
  <c r="AY13" i="12"/>
  <c r="BA13" i="12"/>
  <c r="BB13" i="12"/>
  <c r="BC13" i="12"/>
  <c r="S14" i="12"/>
  <c r="T14" i="12"/>
  <c r="AC14" i="12"/>
  <c r="AI14" i="12"/>
  <c r="AP14" i="12"/>
  <c r="AY14" i="12"/>
  <c r="BA14" i="12"/>
  <c r="BB14" i="12"/>
  <c r="BH14" i="12" s="1"/>
  <c r="BC14" i="12"/>
  <c r="H15" i="12"/>
  <c r="J15" i="12"/>
  <c r="S15" i="12"/>
  <c r="T15" i="12"/>
  <c r="AC15" i="12"/>
  <c r="AI15" i="12"/>
  <c r="AP15" i="12"/>
  <c r="AY15" i="12"/>
  <c r="AZ15" i="12"/>
  <c r="BA15" i="12"/>
  <c r="BB15" i="12"/>
  <c r="BH15" i="12" s="1"/>
  <c r="BC15" i="12"/>
  <c r="S16" i="12"/>
  <c r="T16" i="12"/>
  <c r="AC16" i="12"/>
  <c r="AI16" i="12"/>
  <c r="AP16" i="12"/>
  <c r="AY16" i="12"/>
  <c r="BA16" i="12"/>
  <c r="BB16" i="12"/>
  <c r="BC16" i="12"/>
  <c r="S17" i="12"/>
  <c r="T17" i="12"/>
  <c r="AC17" i="12"/>
  <c r="AI17" i="12"/>
  <c r="AP17" i="12"/>
  <c r="AY17" i="12"/>
  <c r="BA17" i="12"/>
  <c r="BB17" i="12"/>
  <c r="BH17" i="12" s="1"/>
  <c r="BC17" i="12"/>
  <c r="S18" i="12"/>
  <c r="T18" i="12"/>
  <c r="AC18" i="12"/>
  <c r="AI18" i="12"/>
  <c r="AP18" i="12"/>
  <c r="AY18" i="12"/>
  <c r="BA18" i="12"/>
  <c r="BB18" i="12"/>
  <c r="BC18" i="12"/>
  <c r="S19" i="12"/>
  <c r="T19" i="12"/>
  <c r="AC19" i="12"/>
  <c r="AI19" i="12"/>
  <c r="AP19" i="12"/>
  <c r="AY19" i="12"/>
  <c r="BA19" i="12"/>
  <c r="BB19" i="12"/>
  <c r="BH19" i="12" s="1"/>
  <c r="BC19" i="12"/>
  <c r="S20" i="12"/>
  <c r="T20" i="12"/>
  <c r="AC20" i="12"/>
  <c r="AI20" i="12"/>
  <c r="AP20" i="12"/>
  <c r="AY20" i="12"/>
  <c r="BA20" i="12"/>
  <c r="BB20" i="12"/>
  <c r="BC20" i="12"/>
  <c r="S21" i="12"/>
  <c r="T21" i="12"/>
  <c r="AC21" i="12"/>
  <c r="AI21" i="12"/>
  <c r="AP21" i="12"/>
  <c r="AY21" i="12"/>
  <c r="BA21" i="12"/>
  <c r="BB21" i="12"/>
  <c r="BH21" i="12" s="1"/>
  <c r="BC21" i="12"/>
  <c r="T22" i="12"/>
  <c r="AI22" i="12"/>
  <c r="AP22" i="12"/>
  <c r="AY22" i="12"/>
  <c r="BB22" i="12"/>
  <c r="BH22" i="12" s="1"/>
  <c r="BC22" i="12"/>
  <c r="T23" i="12"/>
  <c r="AI23" i="12"/>
  <c r="AP23" i="12"/>
  <c r="AY23" i="12"/>
  <c r="BB23" i="12"/>
  <c r="BH23" i="12" s="1"/>
  <c r="BM23" i="12" s="1"/>
  <c r="BC23" i="12"/>
  <c r="F24" i="12"/>
  <c r="J24" i="12"/>
  <c r="T24" i="12"/>
  <c r="AI24" i="12"/>
  <c r="AP24" i="12"/>
  <c r="AY24" i="12"/>
  <c r="BB24" i="12"/>
  <c r="BH24" i="12" s="1"/>
  <c r="BC24" i="12"/>
  <c r="K25" i="12"/>
  <c r="T25" i="12"/>
  <c r="AI25" i="12"/>
  <c r="AP25" i="12"/>
  <c r="AY25" i="12"/>
  <c r="BB25" i="12"/>
  <c r="BC25" i="12"/>
  <c r="S26" i="12"/>
  <c r="T26" i="12"/>
  <c r="AC26" i="12"/>
  <c r="AI26" i="12"/>
  <c r="AP26" i="12"/>
  <c r="AY26" i="12"/>
  <c r="BA26" i="12"/>
  <c r="BB26" i="12"/>
  <c r="BH26" i="12" s="1"/>
  <c r="BC26" i="12"/>
  <c r="S27" i="12"/>
  <c r="T27" i="12"/>
  <c r="AC27" i="12"/>
  <c r="AI27" i="12"/>
  <c r="AP27" i="12"/>
  <c r="AY27" i="12"/>
  <c r="BA27" i="12"/>
  <c r="BB27" i="12"/>
  <c r="BC27" i="12"/>
  <c r="K28" i="12"/>
  <c r="S28" i="12"/>
  <c r="T28" i="12"/>
  <c r="AC28" i="12"/>
  <c r="AI28" i="12"/>
  <c r="AP28" i="12"/>
  <c r="AY28" i="12"/>
  <c r="BA28" i="12"/>
  <c r="BB28" i="12"/>
  <c r="BC28" i="12"/>
  <c r="S29" i="12"/>
  <c r="T29" i="12"/>
  <c r="AC29" i="12"/>
  <c r="AI29" i="12"/>
  <c r="AP29" i="12"/>
  <c r="AY29" i="12"/>
  <c r="BA29" i="12"/>
  <c r="BB29" i="12"/>
  <c r="BH29" i="12" s="1"/>
  <c r="BC29" i="12"/>
  <c r="S30" i="12"/>
  <c r="T30" i="12"/>
  <c r="AC30" i="12"/>
  <c r="AI30" i="12"/>
  <c r="AP30" i="12"/>
  <c r="AY30" i="12"/>
  <c r="BA30" i="12"/>
  <c r="BB30" i="12"/>
  <c r="BC30" i="12"/>
  <c r="S31" i="12"/>
  <c r="T31" i="12"/>
  <c r="AC31" i="12"/>
  <c r="AI31" i="12"/>
  <c r="AP31" i="12"/>
  <c r="AY31" i="12"/>
  <c r="BA31" i="12"/>
  <c r="BB31" i="12"/>
  <c r="BH31" i="12" s="1"/>
  <c r="BM31" i="12" s="1"/>
  <c r="BC31" i="12"/>
  <c r="S32" i="12"/>
  <c r="T32" i="12"/>
  <c r="AC32" i="12"/>
  <c r="AI32" i="12"/>
  <c r="AP32" i="12"/>
  <c r="AY32" i="12"/>
  <c r="BA32" i="12"/>
  <c r="BB32" i="12"/>
  <c r="BC32" i="12"/>
  <c r="S33" i="12"/>
  <c r="T33" i="12"/>
  <c r="AC33" i="12"/>
  <c r="AI33" i="12"/>
  <c r="AP33" i="12"/>
  <c r="AY33" i="12"/>
  <c r="BA33" i="12"/>
  <c r="BB33" i="12"/>
  <c r="BH33" i="12" s="1"/>
  <c r="BC33" i="12"/>
  <c r="S34" i="12"/>
  <c r="T34" i="12"/>
  <c r="AC34" i="12"/>
  <c r="AI34" i="12"/>
  <c r="AP34" i="12"/>
  <c r="AY34" i="12"/>
  <c r="BA34" i="12"/>
  <c r="BB34" i="12"/>
  <c r="BC34" i="12"/>
  <c r="S35" i="12"/>
  <c r="T35" i="12"/>
  <c r="AC35" i="12"/>
  <c r="AI35" i="12"/>
  <c r="AP35" i="12"/>
  <c r="AY35" i="12"/>
  <c r="BA35" i="12"/>
  <c r="BB35" i="12"/>
  <c r="BH35" i="12" s="1"/>
  <c r="BC35" i="12"/>
  <c r="S36" i="12"/>
  <c r="T36" i="12"/>
  <c r="AC36" i="12"/>
  <c r="AI36" i="12"/>
  <c r="AP36" i="12"/>
  <c r="AY36" i="12"/>
  <c r="BA36" i="12"/>
  <c r="BB36" i="12"/>
  <c r="BC36" i="12"/>
  <c r="T37" i="12"/>
  <c r="AC37" i="12"/>
  <c r="AI37" i="12"/>
  <c r="AP37" i="12"/>
  <c r="AY37" i="12"/>
  <c r="BA37" i="12"/>
  <c r="BB37" i="12"/>
  <c r="BC37" i="12"/>
  <c r="S38" i="12"/>
  <c r="T38" i="12"/>
  <c r="AC38" i="12"/>
  <c r="AI38" i="12"/>
  <c r="AP38" i="12"/>
  <c r="AY38" i="12"/>
  <c r="BA38" i="12"/>
  <c r="BB38" i="12"/>
  <c r="BH38" i="12" s="1"/>
  <c r="BO38" i="12" s="1"/>
  <c r="BQ38" i="12" s="1"/>
  <c r="BC38" i="12"/>
  <c r="S39" i="12"/>
  <c r="T39" i="12"/>
  <c r="AC39" i="12"/>
  <c r="AI39" i="12"/>
  <c r="AP39" i="12"/>
  <c r="AY39" i="12"/>
  <c r="BA39" i="12"/>
  <c r="BB39" i="12"/>
  <c r="BC39" i="12"/>
  <c r="T40" i="12"/>
  <c r="AI40" i="12"/>
  <c r="AP40" i="12"/>
  <c r="AY40" i="12"/>
  <c r="BB40" i="12"/>
  <c r="BC40" i="12"/>
  <c r="T41" i="12"/>
  <c r="AI41" i="12"/>
  <c r="AP41" i="12"/>
  <c r="AY41" i="12"/>
  <c r="BB41" i="12"/>
  <c r="BC41" i="12"/>
  <c r="S42" i="12"/>
  <c r="T42" i="12"/>
  <c r="AC42" i="12"/>
  <c r="AI42" i="12"/>
  <c r="AP42" i="12"/>
  <c r="AY42" i="12"/>
  <c r="BA42" i="12"/>
  <c r="BB42" i="12"/>
  <c r="BC42" i="12"/>
  <c r="S43" i="12"/>
  <c r="T43" i="12"/>
  <c r="AC43" i="12"/>
  <c r="AI43" i="12"/>
  <c r="AP43" i="12"/>
  <c r="AY43" i="12"/>
  <c r="BA43" i="12"/>
  <c r="BB43" i="12"/>
  <c r="BC43" i="12"/>
  <c r="S44" i="12"/>
  <c r="T44" i="12"/>
  <c r="AC44" i="12"/>
  <c r="AI44" i="12"/>
  <c r="AP44" i="12"/>
  <c r="AY44" i="12"/>
  <c r="BA44" i="12"/>
  <c r="BB44" i="12"/>
  <c r="BH44" i="12" s="1"/>
  <c r="BC44" i="12"/>
  <c r="S45" i="12"/>
  <c r="T45" i="12"/>
  <c r="AC45" i="12"/>
  <c r="AI45" i="12"/>
  <c r="AP45" i="12"/>
  <c r="AY45" i="12"/>
  <c r="BA45" i="12"/>
  <c r="BB45" i="12"/>
  <c r="BC45" i="12"/>
  <c r="S46" i="12"/>
  <c r="T46" i="12"/>
  <c r="AC46" i="12"/>
  <c r="AI46" i="12"/>
  <c r="AP46" i="12"/>
  <c r="AY46" i="12"/>
  <c r="BA46" i="12"/>
  <c r="BB46" i="12"/>
  <c r="BH46" i="12" s="1"/>
  <c r="BC46" i="12"/>
  <c r="T47" i="12"/>
  <c r="AI47" i="12"/>
  <c r="AP47" i="12"/>
  <c r="AY47" i="12"/>
  <c r="BB47" i="12"/>
  <c r="BH47" i="12" s="1"/>
  <c r="BC47" i="12"/>
  <c r="AP48" i="12"/>
  <c r="AY48" i="12"/>
  <c r="BB48" i="12"/>
  <c r="BH48" i="12" s="1"/>
  <c r="BC48" i="12"/>
  <c r="AP49" i="12"/>
  <c r="AY49" i="12"/>
  <c r="BB49" i="12"/>
  <c r="BH49" i="12" s="1"/>
  <c r="BM49" i="12" s="1"/>
  <c r="BC49" i="12"/>
  <c r="AP50" i="12"/>
  <c r="AY50" i="12"/>
  <c r="BB50" i="12"/>
  <c r="BH50" i="12" s="1"/>
  <c r="BC50" i="12"/>
  <c r="AP51" i="12"/>
  <c r="AY51" i="12"/>
  <c r="BB51" i="12"/>
  <c r="BH51" i="12" s="1"/>
  <c r="BM51" i="12" s="1"/>
  <c r="BC51" i="12"/>
  <c r="AP52" i="12"/>
  <c r="AY52" i="12"/>
  <c r="BB52" i="12"/>
  <c r="BH52" i="12" s="1"/>
  <c r="BC52" i="12"/>
  <c r="AP53" i="12"/>
  <c r="AY53" i="12"/>
  <c r="BB53" i="12"/>
  <c r="BH53" i="12" s="1"/>
  <c r="BC53" i="12"/>
  <c r="AP54" i="12"/>
  <c r="AY54" i="12"/>
  <c r="BB54" i="12"/>
  <c r="BH54" i="12" s="1"/>
  <c r="BM54" i="12" s="1"/>
  <c r="BC54" i="12"/>
  <c r="AP55" i="12"/>
  <c r="AY55" i="12"/>
  <c r="BB55" i="12"/>
  <c r="BH55" i="12" s="1"/>
  <c r="BC55" i="12"/>
  <c r="S57" i="12"/>
  <c r="T57" i="12"/>
  <c r="AC57" i="12"/>
  <c r="AI57" i="12"/>
  <c r="AP57" i="12"/>
  <c r="AY57" i="12"/>
  <c r="BA57" i="12"/>
  <c r="BB57" i="12"/>
  <c r="BC57" i="12"/>
  <c r="S58" i="12"/>
  <c r="T58" i="12"/>
  <c r="AC58" i="12"/>
  <c r="AI58" i="12"/>
  <c r="AP58" i="12"/>
  <c r="AY58" i="12"/>
  <c r="BA58" i="12"/>
  <c r="BB58" i="12"/>
  <c r="BC58" i="12"/>
  <c r="S59" i="12"/>
  <c r="T59" i="12"/>
  <c r="AC59" i="12"/>
  <c r="AI59" i="12"/>
  <c r="AP59" i="12"/>
  <c r="AY59" i="12"/>
  <c r="BA59" i="12"/>
  <c r="BB59" i="12"/>
  <c r="BC59" i="12"/>
  <c r="S60" i="12"/>
  <c r="T60" i="12"/>
  <c r="AC60" i="12"/>
  <c r="AI60" i="12"/>
  <c r="AP60" i="12"/>
  <c r="AY60" i="12"/>
  <c r="BA60" i="12"/>
  <c r="BB60" i="12"/>
  <c r="BC60" i="12"/>
  <c r="S61" i="12"/>
  <c r="T61" i="12"/>
  <c r="AC61" i="12"/>
  <c r="AI61" i="12"/>
  <c r="AP61" i="12"/>
  <c r="AY61" i="12"/>
  <c r="BA61" i="12"/>
  <c r="BB61" i="12"/>
  <c r="BC61" i="12"/>
  <c r="S62" i="12"/>
  <c r="T62" i="12"/>
  <c r="AC62" i="12"/>
  <c r="AI62" i="12"/>
  <c r="AP62" i="12"/>
  <c r="AY62" i="12"/>
  <c r="BA62" i="12"/>
  <c r="BB62" i="12"/>
  <c r="BC62" i="12"/>
  <c r="T63" i="12"/>
  <c r="AI63" i="12"/>
  <c r="AP63" i="12"/>
  <c r="AY63" i="12"/>
  <c r="BB63" i="12"/>
  <c r="BC63" i="12"/>
  <c r="T64" i="12"/>
  <c r="AI64" i="12"/>
  <c r="AP64" i="12"/>
  <c r="AY64" i="12"/>
  <c r="BB64" i="12"/>
  <c r="BC64" i="12"/>
  <c r="AP65" i="12"/>
  <c r="AY65" i="12"/>
  <c r="BB65" i="12"/>
  <c r="BC65" i="12"/>
  <c r="AP66" i="12"/>
  <c r="AY66" i="12"/>
  <c r="BB66" i="12"/>
  <c r="BC66" i="12"/>
  <c r="AP67" i="12"/>
  <c r="AY67" i="12"/>
  <c r="BB67" i="12"/>
  <c r="BC67" i="12"/>
  <c r="AP68" i="12"/>
  <c r="AY68" i="12"/>
  <c r="BB68" i="12"/>
  <c r="BC68" i="12"/>
  <c r="AP69" i="12"/>
  <c r="AY69" i="12"/>
  <c r="BB69" i="12"/>
  <c r="BC69" i="12"/>
  <c r="AP70" i="12"/>
  <c r="AY70" i="12"/>
  <c r="BB70" i="12"/>
  <c r="BC70" i="12"/>
  <c r="AP71" i="12"/>
  <c r="AY71" i="12"/>
  <c r="BB71" i="12"/>
  <c r="BC71" i="12"/>
  <c r="AP72" i="12"/>
  <c r="AY72" i="12"/>
  <c r="BB72" i="12"/>
  <c r="BC72" i="12"/>
  <c r="AP73" i="12"/>
  <c r="AY73" i="12"/>
  <c r="BB73" i="12"/>
  <c r="BC73" i="12"/>
  <c r="AP74" i="12"/>
  <c r="AY74" i="12"/>
  <c r="BB74" i="12"/>
  <c r="BC74" i="12"/>
  <c r="AP75" i="12"/>
  <c r="AY75" i="12"/>
  <c r="BB75" i="12"/>
  <c r="BC75" i="12"/>
  <c r="AP76" i="12"/>
  <c r="AY76" i="12"/>
  <c r="BB76" i="12"/>
  <c r="BC76" i="12"/>
  <c r="AP77" i="12"/>
  <c r="AY77" i="12"/>
  <c r="BB77" i="12"/>
  <c r="BC77" i="12"/>
  <c r="AP78" i="12"/>
  <c r="AY78" i="12"/>
  <c r="BB78" i="12"/>
  <c r="BC78" i="12"/>
  <c r="AP80" i="12"/>
  <c r="AY80" i="12"/>
  <c r="BB80" i="12"/>
  <c r="BC80" i="12"/>
  <c r="AP81" i="12"/>
  <c r="AY81" i="12"/>
  <c r="BB81" i="12"/>
  <c r="BC81" i="12"/>
  <c r="AP82" i="12"/>
  <c r="AY82" i="12"/>
  <c r="BB82" i="12"/>
  <c r="BC82" i="12"/>
  <c r="AP83" i="12"/>
  <c r="AY83" i="12"/>
  <c r="BB83" i="12"/>
  <c r="BC83" i="12"/>
  <c r="AP84" i="12"/>
  <c r="AY84" i="12"/>
  <c r="BB84" i="12"/>
  <c r="BC84" i="12"/>
  <c r="AP85" i="12"/>
  <c r="AY85" i="12"/>
  <c r="BB85" i="12"/>
  <c r="BC85" i="12"/>
  <c r="AP86" i="12"/>
  <c r="AY86" i="12"/>
  <c r="BB86" i="12"/>
  <c r="BC86" i="12"/>
  <c r="AP87" i="12"/>
  <c r="AY87" i="12"/>
  <c r="BB87" i="12"/>
  <c r="BH87" i="12" s="1"/>
  <c r="BO87" i="12" s="1"/>
  <c r="BC87" i="12"/>
  <c r="AP88" i="12"/>
  <c r="AY88" i="12"/>
  <c r="BB88" i="12"/>
  <c r="BC88" i="12"/>
  <c r="AP89" i="12"/>
  <c r="AY89" i="12"/>
  <c r="BB89" i="12"/>
  <c r="BH89" i="12" s="1"/>
  <c r="BC89" i="12"/>
  <c r="AP90" i="12"/>
  <c r="AY90" i="12"/>
  <c r="BB90" i="12"/>
  <c r="BC90" i="12"/>
  <c r="AP91" i="12"/>
  <c r="AY91" i="12"/>
  <c r="BB91" i="12"/>
  <c r="BH91" i="12" s="1"/>
  <c r="BO91" i="12" s="1"/>
  <c r="BC91" i="12"/>
  <c r="AP92" i="12"/>
  <c r="AY92" i="12"/>
  <c r="BB92" i="12"/>
  <c r="BH92" i="12" s="1"/>
  <c r="BM92" i="12" s="1"/>
  <c r="BC92" i="12"/>
  <c r="AP93" i="12"/>
  <c r="AY93" i="12"/>
  <c r="BB93" i="12"/>
  <c r="BH93" i="12" s="1"/>
  <c r="BO93" i="12" s="1"/>
  <c r="BC93" i="12"/>
  <c r="AP94" i="12"/>
  <c r="AY94" i="12"/>
  <c r="BB94" i="12"/>
  <c r="BH94" i="12" s="1"/>
  <c r="BC94" i="12"/>
  <c r="AP95" i="12"/>
  <c r="AY95" i="12"/>
  <c r="BB95" i="12"/>
  <c r="BC95" i="12"/>
  <c r="AP96" i="12"/>
  <c r="AY96" i="12"/>
  <c r="BB96" i="12"/>
  <c r="BH96" i="12" s="1"/>
  <c r="BC96" i="12"/>
  <c r="AP97" i="12"/>
  <c r="AY97" i="12"/>
  <c r="BB97" i="12"/>
  <c r="BH97" i="12" s="1"/>
  <c r="BC97" i="12"/>
  <c r="AP98" i="12"/>
  <c r="AY98" i="12"/>
  <c r="BB98" i="12"/>
  <c r="BH98" i="12" s="1"/>
  <c r="BC98" i="12"/>
  <c r="AP99" i="12"/>
  <c r="AY99" i="12"/>
  <c r="BB99" i="12"/>
  <c r="BC99" i="12"/>
  <c r="AP100" i="12"/>
  <c r="AY100" i="12"/>
  <c r="BB100" i="12"/>
  <c r="BH100" i="12" s="1"/>
  <c r="BC100" i="12"/>
  <c r="AP101" i="12"/>
  <c r="AY101" i="12"/>
  <c r="BB101" i="12"/>
  <c r="BC101" i="12"/>
  <c r="AP102" i="12"/>
  <c r="AY102" i="12"/>
  <c r="BB102" i="12"/>
  <c r="BH102" i="12" s="1"/>
  <c r="BO102" i="12" s="1"/>
  <c r="BR102" i="12" s="1"/>
  <c r="BC102" i="12"/>
  <c r="AP103" i="12"/>
  <c r="AY103" i="12"/>
  <c r="BB103" i="12"/>
  <c r="BH103" i="12" s="1"/>
  <c r="BC103" i="12"/>
  <c r="AP104" i="12"/>
  <c r="AY104" i="12"/>
  <c r="AZ104" i="12"/>
  <c r="BB104" i="12"/>
  <c r="BC104" i="12"/>
  <c r="S105" i="12"/>
  <c r="T105" i="12"/>
  <c r="AC105" i="12"/>
  <c r="AI105" i="12"/>
  <c r="AP105" i="12"/>
  <c r="AY105" i="12"/>
  <c r="BA105" i="12"/>
  <c r="BC105" i="12"/>
  <c r="S106" i="12"/>
  <c r="T106" i="12"/>
  <c r="AC106" i="12"/>
  <c r="AI106" i="12"/>
  <c r="AP106" i="12"/>
  <c r="AY106" i="12"/>
  <c r="BA106" i="12"/>
  <c r="BC106" i="12"/>
  <c r="S107" i="12"/>
  <c r="T107" i="12"/>
  <c r="AC107" i="12"/>
  <c r="AI107" i="12"/>
  <c r="AP107" i="12"/>
  <c r="AY107" i="12"/>
  <c r="AZ107" i="12"/>
  <c r="BA107" i="12"/>
  <c r="BC107" i="12"/>
  <c r="AP108" i="12"/>
  <c r="AY108" i="12"/>
  <c r="BC108" i="12"/>
  <c r="AP109" i="12"/>
  <c r="AY109" i="12"/>
  <c r="BC109" i="12"/>
  <c r="AP110" i="12"/>
  <c r="AY110" i="12"/>
  <c r="BB110" i="12"/>
  <c r="BH110" i="12" s="1"/>
  <c r="BC110" i="12"/>
  <c r="AP111" i="12"/>
  <c r="AY111" i="12"/>
  <c r="BB111" i="12"/>
  <c r="BH111" i="12" s="1"/>
  <c r="BO111" i="12" s="1"/>
  <c r="BC111" i="12"/>
  <c r="AP112" i="12"/>
  <c r="AY112" i="12"/>
  <c r="BB112" i="12"/>
  <c r="BC112" i="12"/>
  <c r="AP113" i="12"/>
  <c r="AY113" i="12"/>
  <c r="BB113" i="12"/>
  <c r="BH113" i="12" s="1"/>
  <c r="BO113" i="12" s="1"/>
  <c r="BR113" i="12" s="1"/>
  <c r="BC113" i="12"/>
  <c r="AP114" i="12"/>
  <c r="AY114" i="12"/>
  <c r="BB114" i="12"/>
  <c r="BC114" i="12"/>
  <c r="AP115" i="12"/>
  <c r="AY115" i="12"/>
  <c r="BB115" i="12"/>
  <c r="BH115" i="12" s="1"/>
  <c r="BC115" i="12"/>
  <c r="AP116" i="12"/>
  <c r="AY116" i="12"/>
  <c r="BB116" i="12"/>
  <c r="BH116" i="12" s="1"/>
  <c r="BO116" i="12" s="1"/>
  <c r="BC116" i="12"/>
  <c r="AP117" i="12"/>
  <c r="AY117" i="12"/>
  <c r="BB117" i="12"/>
  <c r="BH117" i="12" s="1"/>
  <c r="BO117" i="12" s="1"/>
  <c r="BC117" i="12"/>
  <c r="AP118" i="12"/>
  <c r="AY118" i="12"/>
  <c r="BB118" i="12"/>
  <c r="BC118" i="12"/>
  <c r="AP119" i="12"/>
  <c r="AY119" i="12"/>
  <c r="BB119" i="12"/>
  <c r="BH119" i="12" s="1"/>
  <c r="BO119" i="12" s="1"/>
  <c r="BR119" i="12" s="1"/>
  <c r="BC119" i="12"/>
  <c r="AP120" i="12"/>
  <c r="AY120" i="12"/>
  <c r="BB120" i="12"/>
  <c r="BC120" i="12"/>
  <c r="AP121" i="12"/>
  <c r="AY121" i="12"/>
  <c r="BB121" i="12"/>
  <c r="BH121" i="12" s="1"/>
  <c r="BO121" i="12" s="1"/>
  <c r="BR121" i="12" s="1"/>
  <c r="BC121" i="12"/>
  <c r="AP122" i="12"/>
  <c r="AY122" i="12"/>
  <c r="BB122" i="12"/>
  <c r="BC122" i="12"/>
  <c r="AP123" i="12"/>
  <c r="AY123" i="12"/>
  <c r="BB123" i="12"/>
  <c r="BH123" i="12" s="1"/>
  <c r="BO123" i="12" s="1"/>
  <c r="BR123" i="12" s="1"/>
  <c r="BC123" i="12"/>
  <c r="AP124" i="12"/>
  <c r="AY124" i="12"/>
  <c r="BB124" i="12"/>
  <c r="BH124" i="12" s="1"/>
  <c r="BO124" i="12" s="1"/>
  <c r="BS124" i="12" s="1"/>
  <c r="BC124" i="12"/>
  <c r="AP125" i="12"/>
  <c r="AY125" i="12"/>
  <c r="BB125" i="12"/>
  <c r="BH125" i="12" s="1"/>
  <c r="BC125" i="12"/>
  <c r="AP126" i="12"/>
  <c r="AY126" i="12"/>
  <c r="BB126" i="12"/>
  <c r="BC126" i="12"/>
  <c r="AP127" i="12"/>
  <c r="AY127" i="12"/>
  <c r="BB127" i="12"/>
  <c r="BH127" i="12" s="1"/>
  <c r="BM127" i="12" s="1"/>
  <c r="BC127" i="12"/>
  <c r="AP128" i="12"/>
  <c r="AY128" i="12"/>
  <c r="BB128" i="12"/>
  <c r="BH128" i="12" s="1"/>
  <c r="BO128" i="12" s="1"/>
  <c r="BC128" i="12"/>
  <c r="AP129" i="12"/>
  <c r="AY129" i="12"/>
  <c r="BB129" i="12"/>
  <c r="BC129" i="12"/>
  <c r="AP130" i="12"/>
  <c r="AY130" i="12"/>
  <c r="BB130" i="12"/>
  <c r="BH130" i="12" s="1"/>
  <c r="BC130" i="12"/>
  <c r="AP131" i="12"/>
  <c r="AY131" i="12"/>
  <c r="BB131" i="12"/>
  <c r="BH131" i="12" s="1"/>
  <c r="BM131" i="12" s="1"/>
  <c r="BC131" i="12"/>
  <c r="AP132" i="12"/>
  <c r="AY132" i="12"/>
  <c r="BB132" i="12"/>
  <c r="BH132" i="12" s="1"/>
  <c r="BC132" i="12"/>
  <c r="AP133" i="12"/>
  <c r="AY133" i="12"/>
  <c r="BB133" i="12"/>
  <c r="BH133" i="12" s="1"/>
  <c r="BC133" i="12"/>
  <c r="AP134" i="12"/>
  <c r="AY134" i="12"/>
  <c r="BB134" i="12"/>
  <c r="BH134" i="12" s="1"/>
  <c r="BC134" i="12"/>
  <c r="T135" i="12"/>
  <c r="AI135" i="12"/>
  <c r="AP135" i="12"/>
  <c r="AY135" i="12"/>
  <c r="BB135" i="12"/>
  <c r="BC135" i="12"/>
  <c r="T136" i="12"/>
  <c r="AI136" i="12"/>
  <c r="AP136" i="12"/>
  <c r="AY136" i="12"/>
  <c r="BB136" i="12"/>
  <c r="BH136" i="12" s="1"/>
  <c r="BO136" i="12" s="1"/>
  <c r="BC136" i="12"/>
  <c r="AP137" i="12"/>
  <c r="AY137" i="12"/>
  <c r="BB137" i="12"/>
  <c r="BH137" i="12" s="1"/>
  <c r="BO137" i="12" s="1"/>
  <c r="BR137" i="12" s="1"/>
  <c r="BC137" i="12"/>
  <c r="AP138" i="12"/>
  <c r="AY138" i="12"/>
  <c r="BB138" i="12"/>
  <c r="BH138" i="12" s="1"/>
  <c r="BC138" i="12"/>
  <c r="AP139" i="12"/>
  <c r="AY139" i="12"/>
  <c r="BB139" i="12"/>
  <c r="BH139" i="12" s="1"/>
  <c r="BC139" i="12"/>
  <c r="AP140" i="12"/>
  <c r="AY140" i="12"/>
  <c r="BB140" i="12"/>
  <c r="BH140" i="12" s="1"/>
  <c r="BC140" i="12"/>
  <c r="AP141" i="12"/>
  <c r="AY141" i="12"/>
  <c r="BB141" i="12"/>
  <c r="BH141" i="12" s="1"/>
  <c r="BO141" i="12" s="1"/>
  <c r="BY141" i="12" s="1"/>
  <c r="BC141" i="12"/>
  <c r="AG142" i="12"/>
  <c r="AP142" i="12"/>
  <c r="AY142" i="12"/>
  <c r="BB142" i="12"/>
  <c r="BH142" i="12" s="1"/>
  <c r="BC142" i="12"/>
  <c r="AP146" i="12"/>
  <c r="AY146" i="12"/>
  <c r="BB146" i="12"/>
  <c r="BH146" i="12" s="1"/>
  <c r="BC146" i="12"/>
  <c r="AP147" i="12"/>
  <c r="AY147" i="12"/>
  <c r="BB147" i="12"/>
  <c r="BH147" i="12" s="1"/>
  <c r="BO147" i="12" s="1"/>
  <c r="BC147" i="12"/>
  <c r="AP148" i="12"/>
  <c r="AY148" i="12"/>
  <c r="BB148" i="12"/>
  <c r="BH148" i="12" s="1"/>
  <c r="BC148" i="12"/>
  <c r="AP149" i="12"/>
  <c r="AY149" i="12"/>
  <c r="BB149" i="12"/>
  <c r="BH149" i="12" s="1"/>
  <c r="BC149" i="12"/>
  <c r="AP150" i="12"/>
  <c r="AY150" i="12"/>
  <c r="BB150" i="12"/>
  <c r="BH150" i="12" s="1"/>
  <c r="BC150" i="12"/>
  <c r="AP151" i="12"/>
  <c r="AY151" i="12"/>
  <c r="BB151" i="12"/>
  <c r="BH151" i="12" s="1"/>
  <c r="BO151" i="12" s="1"/>
  <c r="BR151" i="12" s="1"/>
  <c r="BC151" i="12"/>
  <c r="AP152" i="12"/>
  <c r="AY152" i="12"/>
  <c r="BB152" i="12"/>
  <c r="BH152" i="12" s="1"/>
  <c r="BC152" i="12"/>
  <c r="AP153" i="12"/>
  <c r="AY153" i="12"/>
  <c r="BB153" i="12"/>
  <c r="BH153" i="12" s="1"/>
  <c r="BC153" i="12"/>
  <c r="AP154" i="12"/>
  <c r="AY154" i="12"/>
  <c r="BB154" i="12"/>
  <c r="BH154" i="12" s="1"/>
  <c r="BO154" i="12" s="1"/>
  <c r="BC154" i="12"/>
  <c r="AP155" i="12"/>
  <c r="AY155" i="12"/>
  <c r="BB155" i="12"/>
  <c r="BH155" i="12" s="1"/>
  <c r="BO155" i="12" s="1"/>
  <c r="BC155" i="12"/>
  <c r="AF156" i="12"/>
  <c r="AK156" i="12"/>
  <c r="AP156" i="12"/>
  <c r="AY156" i="12"/>
  <c r="BB156" i="12"/>
  <c r="BH156" i="12" s="1"/>
  <c r="BO156" i="12" s="1"/>
  <c r="BR156" i="12" s="1"/>
  <c r="BC156" i="12"/>
  <c r="AP157" i="12"/>
  <c r="AY157" i="12"/>
  <c r="BB157" i="12"/>
  <c r="BH157" i="12" s="1"/>
  <c r="BO157" i="12" s="1"/>
  <c r="BC157" i="12"/>
  <c r="AP158" i="12"/>
  <c r="AY158" i="12"/>
  <c r="BB158" i="12"/>
  <c r="BH158" i="12" s="1"/>
  <c r="BC158" i="12"/>
  <c r="AP159" i="12"/>
  <c r="AY159" i="12"/>
  <c r="BB159" i="12"/>
  <c r="BH159" i="12" s="1"/>
  <c r="BO159" i="12" s="1"/>
  <c r="BS159" i="12" s="1"/>
  <c r="BC159" i="12"/>
  <c r="AY161" i="12"/>
  <c r="BB161" i="12"/>
  <c r="BC161" i="12"/>
  <c r="AJ163" i="12"/>
  <c r="AP163" i="12"/>
  <c r="AY163" i="12"/>
  <c r="BB163" i="12"/>
  <c r="BC163" i="12"/>
  <c r="BD163" i="12"/>
  <c r="C22" i="23" s="1"/>
  <c r="E22" i="23" s="1"/>
  <c r="AP164" i="12"/>
  <c r="AY164" i="12"/>
  <c r="BB164" i="12"/>
  <c r="BH164" i="12" s="1"/>
  <c r="BO164" i="12" s="1"/>
  <c r="BC164" i="12"/>
  <c r="AP165" i="12"/>
  <c r="AY165" i="12"/>
  <c r="BB165" i="12"/>
  <c r="BH165" i="12" s="1"/>
  <c r="BC165" i="12"/>
  <c r="AP166" i="12"/>
  <c r="AY166" i="12"/>
  <c r="BB166" i="12"/>
  <c r="BH166" i="12" s="1"/>
  <c r="BC166" i="12"/>
  <c r="AP167" i="12"/>
  <c r="AY167" i="12"/>
  <c r="BB167" i="12"/>
  <c r="BH167" i="12" s="1"/>
  <c r="BC167" i="12"/>
  <c r="AP168" i="12"/>
  <c r="AY168" i="12"/>
  <c r="BB168" i="12"/>
  <c r="BH168" i="12" s="1"/>
  <c r="BC168" i="12"/>
  <c r="AP169" i="12"/>
  <c r="AY169" i="12"/>
  <c r="BB169" i="12"/>
  <c r="BH169" i="12" s="1"/>
  <c r="BO169" i="12" s="1"/>
  <c r="BY169" i="12" s="1"/>
  <c r="BC169" i="12"/>
  <c r="AP170" i="12"/>
  <c r="AY170" i="12"/>
  <c r="BB170" i="12"/>
  <c r="BH170" i="12" s="1"/>
  <c r="BC170" i="12"/>
  <c r="AP171" i="12"/>
  <c r="AY171" i="12"/>
  <c r="BB171" i="12"/>
  <c r="BH171" i="12" s="1"/>
  <c r="BM171" i="12" s="1"/>
  <c r="BC171" i="12"/>
  <c r="BB172" i="12"/>
  <c r="BH172" i="12" s="1"/>
  <c r="BC172" i="12"/>
  <c r="T173" i="12"/>
  <c r="AF173" i="12"/>
  <c r="AP173" i="12"/>
  <c r="AY173" i="12"/>
  <c r="T174" i="12"/>
  <c r="AF174" i="12"/>
  <c r="AP174" i="12"/>
  <c r="AY174" i="12"/>
  <c r="T175" i="12"/>
  <c r="AF175" i="12"/>
  <c r="AP175" i="12"/>
  <c r="AY175" i="12"/>
  <c r="T176" i="12"/>
  <c r="AF176" i="12"/>
  <c r="AP176" i="12"/>
  <c r="AY176" i="12"/>
  <c r="AP177" i="12"/>
  <c r="AY177" i="12"/>
  <c r="BB177" i="12"/>
  <c r="BH177" i="12" s="1"/>
  <c r="BO177" i="12" s="1"/>
  <c r="BC177" i="12"/>
  <c r="BH160" i="12"/>
  <c r="BH162" i="12"/>
  <c r="AP181" i="12"/>
  <c r="AY181" i="12"/>
  <c r="BB181" i="12"/>
  <c r="BC181" i="12"/>
  <c r="AP183" i="12"/>
  <c r="AY183" i="12"/>
  <c r="BB183" i="12"/>
  <c r="BH183" i="12" s="1"/>
  <c r="BC183" i="12"/>
  <c r="AP184" i="12"/>
  <c r="AY184" i="12"/>
  <c r="BB184" i="12"/>
  <c r="BH184" i="12" s="1"/>
  <c r="BM184" i="12" s="1"/>
  <c r="BC184" i="12"/>
  <c r="BH193" i="12"/>
  <c r="BH196" i="12"/>
  <c r="BH198" i="12" s="1"/>
  <c r="BH203" i="12" s="1"/>
  <c r="BH207" i="12"/>
  <c r="BI160" i="12"/>
  <c r="D26" i="23"/>
  <c r="AD200" i="12"/>
  <c r="AD201" i="12"/>
  <c r="AP201" i="12" s="1"/>
  <c r="AW201" i="12" s="1"/>
  <c r="AD196" i="12"/>
  <c r="AN196" i="12"/>
  <c r="AO196" i="12"/>
  <c r="T189" i="12"/>
  <c r="T195" i="12"/>
  <c r="T196" i="12"/>
  <c r="AP196" i="12"/>
  <c r="AW196" i="12"/>
  <c r="AP197" i="12"/>
  <c r="AQ197" i="12"/>
  <c r="AW197" i="12"/>
  <c r="AW198" i="12"/>
  <c r="AP199" i="12"/>
  <c r="AW199" i="12"/>
  <c r="AP202" i="12"/>
  <c r="AW202" i="12"/>
  <c r="AW6" i="12"/>
  <c r="AW7" i="12"/>
  <c r="AW8" i="12"/>
  <c r="AW9" i="12"/>
  <c r="AW10" i="12"/>
  <c r="AW11" i="12"/>
  <c r="AW12" i="12"/>
  <c r="AW13" i="12"/>
  <c r="AW14" i="12"/>
  <c r="AW15" i="12"/>
  <c r="AW16" i="12"/>
  <c r="AW17" i="12"/>
  <c r="AW18" i="12"/>
  <c r="AW19" i="12"/>
  <c r="AW20" i="12"/>
  <c r="AW21" i="12"/>
  <c r="AW22" i="12"/>
  <c r="AW23" i="12"/>
  <c r="AW24" i="12"/>
  <c r="AW25" i="12"/>
  <c r="AW26" i="12"/>
  <c r="AW27" i="12"/>
  <c r="AW28" i="12"/>
  <c r="AW29" i="12"/>
  <c r="AW30" i="12"/>
  <c r="AW31" i="12"/>
  <c r="AW32" i="12"/>
  <c r="AW33" i="12"/>
  <c r="AW34" i="12"/>
  <c r="AW35" i="12"/>
  <c r="AW36" i="12"/>
  <c r="AW37" i="12"/>
  <c r="AW38" i="12"/>
  <c r="AW39" i="12"/>
  <c r="AW40" i="12"/>
  <c r="AW41" i="12"/>
  <c r="AW42" i="12"/>
  <c r="AW43" i="12"/>
  <c r="AW44" i="12"/>
  <c r="AW45" i="12"/>
  <c r="AW46" i="12"/>
  <c r="AW47" i="12"/>
  <c r="AW48" i="12"/>
  <c r="AW49" i="12"/>
  <c r="AW50" i="12"/>
  <c r="AW51" i="12"/>
  <c r="AW52" i="12"/>
  <c r="AW53" i="12"/>
  <c r="AW54" i="12"/>
  <c r="AW57" i="12"/>
  <c r="AW58" i="12"/>
  <c r="AW59" i="12"/>
  <c r="AW60" i="12"/>
  <c r="AW61" i="12"/>
  <c r="AW62" i="12"/>
  <c r="AW63" i="12"/>
  <c r="AW64" i="12"/>
  <c r="AW65" i="12"/>
  <c r="AW66" i="12"/>
  <c r="AW67" i="12"/>
  <c r="AW68" i="12"/>
  <c r="AW69" i="12"/>
  <c r="AW70" i="12"/>
  <c r="AW71" i="12"/>
  <c r="AW72" i="12"/>
  <c r="AW73" i="12"/>
  <c r="AW74" i="12"/>
  <c r="AW75" i="12"/>
  <c r="AW76" i="12"/>
  <c r="AW77" i="12"/>
  <c r="AW78" i="12"/>
  <c r="AW80" i="12"/>
  <c r="AW81" i="12"/>
  <c r="AW82" i="12"/>
  <c r="AW83" i="12"/>
  <c r="AW84" i="12"/>
  <c r="AW85" i="12"/>
  <c r="AW86" i="12"/>
  <c r="AW87" i="12"/>
  <c r="AW88" i="12"/>
  <c r="AW89" i="12"/>
  <c r="AW90" i="12"/>
  <c r="AW91" i="12"/>
  <c r="AW92" i="12"/>
  <c r="AW93" i="12"/>
  <c r="AW94" i="12"/>
  <c r="AW95" i="12"/>
  <c r="AW96" i="12"/>
  <c r="AW97" i="12"/>
  <c r="AW98" i="12"/>
  <c r="AW99" i="12"/>
  <c r="AW100" i="12"/>
  <c r="AW101" i="12"/>
  <c r="AW102" i="12"/>
  <c r="AW103" i="12"/>
  <c r="AW104" i="12"/>
  <c r="AW105" i="12"/>
  <c r="AW106" i="12"/>
  <c r="AW107" i="12"/>
  <c r="AW108" i="12"/>
  <c r="AW109" i="12"/>
  <c r="AW110" i="12"/>
  <c r="AW111" i="12"/>
  <c r="AW112" i="12"/>
  <c r="AW113" i="12"/>
  <c r="AW114" i="12"/>
  <c r="AW115" i="12"/>
  <c r="AW116" i="12"/>
  <c r="AW117" i="12"/>
  <c r="AW118" i="12"/>
  <c r="AW119" i="12"/>
  <c r="AW120" i="12"/>
  <c r="AW121" i="12"/>
  <c r="AW122" i="12"/>
  <c r="AW123" i="12"/>
  <c r="AW124" i="12"/>
  <c r="AW125" i="12"/>
  <c r="AW126" i="12"/>
  <c r="AW127" i="12"/>
  <c r="AW128" i="12"/>
  <c r="AW129" i="12"/>
  <c r="AW130" i="12"/>
  <c r="AW131" i="12"/>
  <c r="AW132" i="12"/>
  <c r="AW133" i="12"/>
  <c r="AW134" i="12"/>
  <c r="AW135" i="12"/>
  <c r="AW136" i="12"/>
  <c r="AW137" i="12"/>
  <c r="AW138" i="12"/>
  <c r="AW139" i="12"/>
  <c r="AW140" i="12"/>
  <c r="AW141" i="12"/>
  <c r="AW142" i="12"/>
  <c r="AW146" i="12"/>
  <c r="AW147" i="12"/>
  <c r="AW148" i="12"/>
  <c r="AW149" i="12"/>
  <c r="AW150" i="12"/>
  <c r="AW151" i="12"/>
  <c r="AW152" i="12"/>
  <c r="AW153" i="12"/>
  <c r="AW154" i="12"/>
  <c r="AW155" i="12"/>
  <c r="AW156" i="12"/>
  <c r="AW157" i="12"/>
  <c r="AW158" i="12"/>
  <c r="AW159" i="12"/>
  <c r="AW163" i="12"/>
  <c r="AW164" i="12"/>
  <c r="AW165" i="12"/>
  <c r="AW166" i="12"/>
  <c r="AW167" i="12"/>
  <c r="AW168" i="12"/>
  <c r="AW169" i="12"/>
  <c r="AW170" i="12"/>
  <c r="AW171" i="12"/>
  <c r="AW173" i="12"/>
  <c r="AW174" i="12"/>
  <c r="AW175" i="12"/>
  <c r="AW176" i="12"/>
  <c r="AW55" i="12"/>
  <c r="AW177" i="12"/>
  <c r="AW179" i="12"/>
  <c r="AP180" i="12"/>
  <c r="AW180" i="12"/>
  <c r="AW181" i="12"/>
  <c r="AW182" i="12"/>
  <c r="AW183" i="12"/>
  <c r="AW184" i="12"/>
  <c r="AW186" i="12"/>
  <c r="T29" i="23"/>
  <c r="S29" i="23"/>
  <c r="P29" i="23"/>
  <c r="O29" i="23"/>
  <c r="L29" i="23"/>
  <c r="K29" i="23"/>
  <c r="H29" i="23"/>
  <c r="G29" i="23"/>
  <c r="D29" i="23"/>
  <c r="BD179" i="12"/>
  <c r="BD186" i="12" s="1"/>
  <c r="C23" i="23" s="1"/>
  <c r="E23" i="23" s="1"/>
  <c r="BO23" i="12"/>
  <c r="BO51" i="12"/>
  <c r="BO160" i="12"/>
  <c r="BR160" i="12"/>
  <c r="BY160" i="12" s="1"/>
  <c r="CF160" i="12" s="1"/>
  <c r="CO160" i="12" s="1"/>
  <c r="BS160" i="12"/>
  <c r="BO162" i="12"/>
  <c r="BR162" i="12"/>
  <c r="BS162" i="12"/>
  <c r="BA179" i="12"/>
  <c r="BA186" i="12"/>
  <c r="C19" i="23"/>
  <c r="BP179" i="12"/>
  <c r="BP186" i="12"/>
  <c r="AZ179" i="12"/>
  <c r="AZ186" i="12"/>
  <c r="AY179" i="12"/>
  <c r="AY186" i="12"/>
  <c r="C18" i="23"/>
  <c r="G13" i="23"/>
  <c r="G12" i="23"/>
  <c r="BY193" i="12"/>
  <c r="CO193" i="12"/>
  <c r="DE193" i="12"/>
  <c r="DU193" i="12"/>
  <c r="DZ193" i="12"/>
  <c r="S11" i="23"/>
  <c r="O11" i="23"/>
  <c r="K11" i="23"/>
  <c r="G11" i="23"/>
  <c r="C11" i="23"/>
  <c r="C9" i="23"/>
  <c r="E9" i="23" s="1"/>
  <c r="C8" i="23"/>
  <c r="U52" i="23"/>
  <c r="Q52" i="23"/>
  <c r="M52" i="23"/>
  <c r="E51" i="23"/>
  <c r="U11" i="23"/>
  <c r="U12" i="23"/>
  <c r="U13" i="23"/>
  <c r="Q11" i="23"/>
  <c r="Q12" i="23"/>
  <c r="Q13" i="23"/>
  <c r="M11" i="23"/>
  <c r="M12" i="23"/>
  <c r="M13" i="23"/>
  <c r="I11" i="23"/>
  <c r="I12" i="23"/>
  <c r="I13" i="23"/>
  <c r="E11" i="23"/>
  <c r="E12" i="23"/>
  <c r="E13" i="23"/>
  <c r="E18" i="23"/>
  <c r="E19" i="23"/>
  <c r="E24" i="23"/>
  <c r="E26" i="23"/>
  <c r="I29" i="23"/>
  <c r="M24" i="23"/>
  <c r="M29" i="23"/>
  <c r="Q24" i="23"/>
  <c r="Q29" i="23"/>
  <c r="U24" i="23"/>
  <c r="U29" i="23"/>
  <c r="E8" i="23"/>
  <c r="BM191" i="12"/>
  <c r="BM189" i="12"/>
  <c r="BM190" i="12"/>
  <c r="BM193" i="12"/>
  <c r="BM188" i="12"/>
  <c r="BM196" i="12"/>
  <c r="BM160" i="12"/>
  <c r="BM178" i="12"/>
  <c r="BM162" i="12"/>
  <c r="CD191" i="12"/>
  <c r="CD193" i="12"/>
  <c r="CD194" i="12"/>
  <c r="CD190" i="12"/>
  <c r="BI142" i="12"/>
  <c r="BI179" i="12" s="1"/>
  <c r="BI186" i="12" s="1"/>
  <c r="BC174" i="12"/>
  <c r="BB174" i="12"/>
  <c r="BH174" i="12" s="1"/>
  <c r="BB106" i="12"/>
  <c r="BH106" i="12" s="1"/>
  <c r="BO106" i="12" s="1"/>
  <c r="AW190" i="12"/>
  <c r="I9" i="14"/>
  <c r="I10" i="14"/>
  <c r="I11" i="14"/>
  <c r="I12" i="14"/>
  <c r="I13" i="14"/>
  <c r="I14" i="14"/>
  <c r="I15" i="14"/>
  <c r="I8" i="14"/>
  <c r="D9" i="14"/>
  <c r="D10" i="14"/>
  <c r="D11" i="14"/>
  <c r="D12" i="14"/>
  <c r="D13" i="14"/>
  <c r="D14" i="14"/>
  <c r="D8" i="14"/>
  <c r="H9" i="14"/>
  <c r="H8" i="14"/>
  <c r="H10" i="14"/>
  <c r="H17" i="14"/>
  <c r="H14" i="14"/>
  <c r="C16" i="14"/>
  <c r="H16" i="15"/>
  <c r="G16" i="15"/>
  <c r="F16" i="15"/>
  <c r="E16" i="15"/>
  <c r="D16" i="15"/>
  <c r="H27" i="13"/>
  <c r="G27" i="13"/>
  <c r="F27" i="13"/>
  <c r="E27" i="13"/>
  <c r="D27" i="13"/>
  <c r="C8" i="14"/>
  <c r="H39" i="13"/>
  <c r="G39" i="13"/>
  <c r="F39" i="13"/>
  <c r="E39" i="13"/>
  <c r="D39" i="13"/>
  <c r="DN198" i="12"/>
  <c r="DM198" i="12"/>
  <c r="DL198" i="12"/>
  <c r="DL203" i="12"/>
  <c r="DY196" i="12"/>
  <c r="DY198" i="12"/>
  <c r="DY203" i="12"/>
  <c r="DX196" i="12"/>
  <c r="DX198" i="12"/>
  <c r="DW196" i="12"/>
  <c r="DW198" i="12"/>
  <c r="DW203" i="12"/>
  <c r="DV196" i="12"/>
  <c r="DZ194" i="12"/>
  <c r="DY179" i="12"/>
  <c r="DY186" i="12"/>
  <c r="DX179" i="12"/>
  <c r="DX186" i="12"/>
  <c r="DW179" i="12"/>
  <c r="DW186" i="12"/>
  <c r="DT179" i="12"/>
  <c r="DT186" i="12"/>
  <c r="DR179" i="12"/>
  <c r="DR186" i="12"/>
  <c r="DM179" i="12"/>
  <c r="DM186" i="12"/>
  <c r="DM205" i="12"/>
  <c r="DZ178" i="12"/>
  <c r="BZ220" i="12"/>
  <c r="BZ221" i="12"/>
  <c r="AW204" i="12"/>
  <c r="AY204" i="12"/>
  <c r="CX198" i="12"/>
  <c r="CW198" i="12"/>
  <c r="CV198" i="12"/>
  <c r="CV203" i="12"/>
  <c r="CH198" i="12"/>
  <c r="CG198" i="12"/>
  <c r="CF198" i="12"/>
  <c r="BQ198" i="12"/>
  <c r="BP198" i="12"/>
  <c r="BO198" i="12"/>
  <c r="BA198" i="12"/>
  <c r="BA203" i="12"/>
  <c r="AZ198" i="12"/>
  <c r="AY198" i="12"/>
  <c r="AY203" i="12"/>
  <c r="AV198" i="12"/>
  <c r="AV203" i="12"/>
  <c r="AU198" i="12"/>
  <c r="AU203" i="12"/>
  <c r="AT198" i="12"/>
  <c r="AT203" i="12"/>
  <c r="AR198" i="12"/>
  <c r="AR203" i="12"/>
  <c r="AL198" i="12"/>
  <c r="AL203" i="12"/>
  <c r="AK198" i="12"/>
  <c r="AK203" i="12"/>
  <c r="AJ198" i="12"/>
  <c r="AJ203" i="12"/>
  <c r="AI198" i="12"/>
  <c r="AI203" i="12"/>
  <c r="AH198" i="12"/>
  <c r="AG198" i="12"/>
  <c r="AG203" i="12"/>
  <c r="AF198" i="12"/>
  <c r="AF203" i="12"/>
  <c r="AE198" i="12"/>
  <c r="AE203" i="12"/>
  <c r="AC198" i="12"/>
  <c r="AC203" i="12"/>
  <c r="AA198" i="12"/>
  <c r="AA203" i="12"/>
  <c r="AQ198" i="12"/>
  <c r="AQ203" i="12"/>
  <c r="AQ205" i="12"/>
  <c r="DI196" i="12"/>
  <c r="DI198" i="12"/>
  <c r="DI203" i="12"/>
  <c r="DH196" i="12"/>
  <c r="DG196" i="12"/>
  <c r="DG198" i="12"/>
  <c r="DG203" i="12"/>
  <c r="DF196" i="12"/>
  <c r="CS196" i="12"/>
  <c r="CS198" i="12"/>
  <c r="CS203" i="12"/>
  <c r="CR196" i="12"/>
  <c r="CQ196" i="12"/>
  <c r="CQ198" i="12"/>
  <c r="CQ203" i="12"/>
  <c r="CP196" i="12"/>
  <c r="CC196" i="12"/>
  <c r="CC198" i="12"/>
  <c r="CC203" i="12"/>
  <c r="CB196" i="12"/>
  <c r="CA196" i="12"/>
  <c r="CA198" i="12"/>
  <c r="CA203" i="12"/>
  <c r="BZ196" i="12"/>
  <c r="BL196" i="12"/>
  <c r="BL198" i="12"/>
  <c r="BL203" i="12"/>
  <c r="BK196" i="12"/>
  <c r="BJ196" i="12"/>
  <c r="BJ198" i="12"/>
  <c r="BJ203" i="12"/>
  <c r="BI196" i="12"/>
  <c r="BI198" i="12"/>
  <c r="AO198" i="12"/>
  <c r="AO203" i="12"/>
  <c r="AO205" i="12"/>
  <c r="AD198" i="12"/>
  <c r="V196" i="12"/>
  <c r="V198" i="12"/>
  <c r="V203" i="12"/>
  <c r="AP195" i="12"/>
  <c r="AW195" i="12"/>
  <c r="DJ194" i="12"/>
  <c r="CT194" i="12"/>
  <c r="BM194" i="12"/>
  <c r="AP194" i="12"/>
  <c r="AW194" i="12"/>
  <c r="AD193" i="12"/>
  <c r="AP193" i="12" s="1"/>
  <c r="AW193" i="12" s="1"/>
  <c r="AW189" i="12"/>
  <c r="AW188" i="12"/>
  <c r="AP207" i="12"/>
  <c r="AP187" i="12"/>
  <c r="AW187" i="12"/>
  <c r="T184" i="12"/>
  <c r="T183" i="12"/>
  <c r="T182" i="12"/>
  <c r="T181" i="12"/>
  <c r="DI179" i="12"/>
  <c r="DI186" i="12"/>
  <c r="DH179" i="12"/>
  <c r="DH186" i="12"/>
  <c r="DG179" i="12"/>
  <c r="DG186" i="12"/>
  <c r="DD179" i="12"/>
  <c r="DD186" i="12"/>
  <c r="DB179" i="12"/>
  <c r="DB186" i="12"/>
  <c r="CW179" i="12"/>
  <c r="CW186" i="12"/>
  <c r="CW205" i="12"/>
  <c r="CS179" i="12"/>
  <c r="CS186" i="12"/>
  <c r="CR179" i="12"/>
  <c r="CR186" i="12"/>
  <c r="CQ179" i="12"/>
  <c r="CQ186" i="12"/>
  <c r="CN179" i="12"/>
  <c r="CN186" i="12"/>
  <c r="CL179" i="12"/>
  <c r="CL186" i="12"/>
  <c r="CL205" i="12"/>
  <c r="CG179" i="12"/>
  <c r="CG186" i="12"/>
  <c r="CG205" i="12"/>
  <c r="CC179" i="12"/>
  <c r="CC186" i="12"/>
  <c r="CB179" i="12"/>
  <c r="CB186" i="12"/>
  <c r="CA179" i="12"/>
  <c r="CA186" i="12"/>
  <c r="BW179" i="12"/>
  <c r="BW186" i="12"/>
  <c r="BU179" i="12"/>
  <c r="BU186" i="12"/>
  <c r="BU205" i="12"/>
  <c r="BP205" i="12"/>
  <c r="BL179" i="12"/>
  <c r="BL186" i="12"/>
  <c r="BK179" i="12"/>
  <c r="BK186" i="12"/>
  <c r="BJ179" i="12"/>
  <c r="BJ186" i="12"/>
  <c r="BG179" i="12"/>
  <c r="BE179" i="12"/>
  <c r="BE186" i="12"/>
  <c r="BE205" i="12"/>
  <c r="AV179" i="12"/>
  <c r="AV186" i="12"/>
  <c r="AU179" i="12"/>
  <c r="AU186" i="12"/>
  <c r="AT179" i="12"/>
  <c r="AT186" i="12"/>
  <c r="AS179" i="12"/>
  <c r="AS186" i="12"/>
  <c r="AS205" i="12"/>
  <c r="AR179" i="12"/>
  <c r="AR186" i="12"/>
  <c r="AO179" i="12"/>
  <c r="AN179" i="12"/>
  <c r="AM179" i="12"/>
  <c r="AM186" i="12"/>
  <c r="AL179" i="12"/>
  <c r="AL186" i="12"/>
  <c r="AH179" i="12"/>
  <c r="AH186" i="12"/>
  <c r="AH205" i="12"/>
  <c r="AE179" i="12"/>
  <c r="AE186" i="12"/>
  <c r="V179" i="12"/>
  <c r="V186" i="12"/>
  <c r="U179" i="12"/>
  <c r="U186" i="12"/>
  <c r="R179" i="12"/>
  <c r="R186" i="12"/>
  <c r="P179" i="12"/>
  <c r="P186" i="12"/>
  <c r="N179" i="12"/>
  <c r="N186" i="12"/>
  <c r="M179" i="12"/>
  <c r="M186" i="12"/>
  <c r="L179" i="12"/>
  <c r="L186" i="12"/>
  <c r="I179" i="12"/>
  <c r="I186" i="12"/>
  <c r="G179" i="12"/>
  <c r="G186" i="12"/>
  <c r="E179" i="12"/>
  <c r="E186" i="12"/>
  <c r="DJ178" i="12"/>
  <c r="CT178" i="12"/>
  <c r="CD178" i="12"/>
  <c r="T177" i="12"/>
  <c r="T171" i="12"/>
  <c r="T170" i="12"/>
  <c r="T169" i="12"/>
  <c r="T168" i="12"/>
  <c r="T167" i="12"/>
  <c r="T166" i="12"/>
  <c r="T165" i="12"/>
  <c r="T164" i="12"/>
  <c r="AJ179" i="12"/>
  <c r="AJ186" i="12"/>
  <c r="T163" i="12"/>
  <c r="F159" i="12"/>
  <c r="T159" i="12"/>
  <c r="T158" i="12"/>
  <c r="T157" i="12"/>
  <c r="AK179" i="12"/>
  <c r="AK186" i="12"/>
  <c r="F156" i="12"/>
  <c r="T156" i="12"/>
  <c r="T155" i="12"/>
  <c r="T154" i="12"/>
  <c r="T153" i="12"/>
  <c r="T152" i="12"/>
  <c r="T151" i="12"/>
  <c r="T150" i="12"/>
  <c r="T149" i="12"/>
  <c r="T148" i="12"/>
  <c r="T147" i="12"/>
  <c r="T146" i="12"/>
  <c r="AG179" i="12"/>
  <c r="AG186" i="12"/>
  <c r="Q142" i="12"/>
  <c r="F142" i="12"/>
  <c r="T141" i="12"/>
  <c r="T140" i="12"/>
  <c r="T139" i="12"/>
  <c r="T138" i="12"/>
  <c r="T137" i="12"/>
  <c r="T134" i="12"/>
  <c r="T133" i="12"/>
  <c r="T132" i="12"/>
  <c r="T131" i="12"/>
  <c r="T130" i="12"/>
  <c r="T129" i="12"/>
  <c r="T128" i="12"/>
  <c r="T127" i="12"/>
  <c r="T126" i="12"/>
  <c r="T125" i="12"/>
  <c r="T124" i="12"/>
  <c r="T123" i="12"/>
  <c r="T122" i="12"/>
  <c r="T121" i="12"/>
  <c r="T120" i="12"/>
  <c r="T119" i="12"/>
  <c r="T118" i="12"/>
  <c r="T117" i="12"/>
  <c r="T116" i="12"/>
  <c r="T115" i="12"/>
  <c r="T114" i="12"/>
  <c r="T113" i="12"/>
  <c r="T112" i="12"/>
  <c r="T111" i="12"/>
  <c r="T110" i="12"/>
  <c r="T109" i="12"/>
  <c r="T108" i="12"/>
  <c r="T104" i="12"/>
  <c r="T103" i="12"/>
  <c r="O102" i="12"/>
  <c r="O179" i="12"/>
  <c r="O186" i="12"/>
  <c r="T101" i="12"/>
  <c r="T100" i="12"/>
  <c r="T99" i="12"/>
  <c r="T98" i="12"/>
  <c r="T97" i="12"/>
  <c r="T96" i="12"/>
  <c r="T95" i="12"/>
  <c r="T94" i="12"/>
  <c r="T93" i="12"/>
  <c r="T92" i="12"/>
  <c r="T91" i="12"/>
  <c r="T90" i="12"/>
  <c r="T89" i="12"/>
  <c r="T88" i="12"/>
  <c r="T87" i="12"/>
  <c r="T86" i="12"/>
  <c r="T85" i="12"/>
  <c r="T84" i="12"/>
  <c r="T83" i="12"/>
  <c r="T82" i="12"/>
  <c r="T81" i="12"/>
  <c r="T80" i="12"/>
  <c r="T78" i="12"/>
  <c r="T77" i="12"/>
  <c r="T76" i="12"/>
  <c r="T75" i="12"/>
  <c r="T74" i="12"/>
  <c r="T73" i="12"/>
  <c r="T72" i="12"/>
  <c r="T71" i="12"/>
  <c r="T70" i="12"/>
  <c r="T69" i="12"/>
  <c r="T68" i="12"/>
  <c r="T67" i="12"/>
  <c r="T66" i="12"/>
  <c r="T65" i="12"/>
  <c r="S54" i="12"/>
  <c r="T54" i="12"/>
  <c r="T53" i="12"/>
  <c r="T52" i="12"/>
  <c r="T51" i="12"/>
  <c r="T50" i="12"/>
  <c r="T49" i="12"/>
  <c r="T48" i="12"/>
  <c r="K179" i="12"/>
  <c r="K186" i="12"/>
  <c r="F179" i="12"/>
  <c r="F186" i="12"/>
  <c r="AP198" i="12"/>
  <c r="H179" i="12"/>
  <c r="H186" i="12"/>
  <c r="T102" i="12"/>
  <c r="Q179" i="12"/>
  <c r="Q186" i="12"/>
  <c r="T142" i="12"/>
  <c r="T198" i="12"/>
  <c r="T203" i="12"/>
  <c r="BA204" i="12"/>
  <c r="BH204" i="12"/>
  <c r="BI204" i="12"/>
  <c r="CT193" i="12"/>
  <c r="D11" i="13"/>
  <c r="CT190" i="12"/>
  <c r="DE190" i="12"/>
  <c r="DJ190" i="12"/>
  <c r="BA211" i="12"/>
  <c r="AD179" i="12"/>
  <c r="AD186" i="12"/>
  <c r="BF179" i="12"/>
  <c r="BF186" i="12"/>
  <c r="BF205" i="12"/>
  <c r="BV179" i="12"/>
  <c r="BV186" i="12"/>
  <c r="BV205" i="12"/>
  <c r="CM179" i="12"/>
  <c r="CM186" i="12"/>
  <c r="CM205" i="12"/>
  <c r="DC179" i="12"/>
  <c r="DC186" i="12"/>
  <c r="DC205" i="12"/>
  <c r="DS179" i="12"/>
  <c r="DS186" i="12"/>
  <c r="DS205" i="12"/>
  <c r="CP198" i="12"/>
  <c r="DN203" i="12"/>
  <c r="BI203" i="12"/>
  <c r="BZ198" i="12"/>
  <c r="BQ203" i="12"/>
  <c r="AU205" i="12"/>
  <c r="DW205" i="12"/>
  <c r="J179" i="12"/>
  <c r="J186" i="12"/>
  <c r="AJ205" i="12"/>
  <c r="AL205" i="12"/>
  <c r="AV205" i="12"/>
  <c r="DF198" i="12"/>
  <c r="BJ204" i="12"/>
  <c r="S179" i="12"/>
  <c r="S186" i="12"/>
  <c r="AT205" i="12"/>
  <c r="CC205" i="12"/>
  <c r="CS205" i="12"/>
  <c r="DI205" i="12"/>
  <c r="DY205" i="12"/>
  <c r="DX203" i="12"/>
  <c r="BL205" i="12"/>
  <c r="CQ205" i="12"/>
  <c r="DG205" i="12"/>
  <c r="BO203" i="12"/>
  <c r="CH203" i="12"/>
  <c r="DU190" i="12"/>
  <c r="BK204" i="12"/>
  <c r="V205" i="12"/>
  <c r="BJ205" i="12"/>
  <c r="BK198" i="12"/>
  <c r="CB198" i="12"/>
  <c r="CR198" i="12"/>
  <c r="DH198" i="12"/>
  <c r="CF203" i="12"/>
  <c r="CX203" i="12"/>
  <c r="DV198" i="12"/>
  <c r="AZ205" i="12"/>
  <c r="DT205" i="12"/>
  <c r="DD205" i="12"/>
  <c r="CN205" i="12"/>
  <c r="BW205" i="12"/>
  <c r="DX205" i="12"/>
  <c r="DB205" i="12"/>
  <c r="DR205" i="12"/>
  <c r="CA205" i="12"/>
  <c r="T179" i="12"/>
  <c r="T186" i="12"/>
  <c r="T205" i="12"/>
  <c r="AF179" i="12"/>
  <c r="AF186" i="12"/>
  <c r="AF205" i="12"/>
  <c r="AG205" i="12"/>
  <c r="AR205" i="12"/>
  <c r="AE205" i="12"/>
  <c r="AK205" i="12"/>
  <c r="BZ203" i="12"/>
  <c r="DF203" i="12"/>
  <c r="CP203" i="12"/>
  <c r="CB203" i="12"/>
  <c r="CB205" i="12"/>
  <c r="DJ193" i="12"/>
  <c r="BK203" i="12"/>
  <c r="BK205" i="12"/>
  <c r="DH203" i="12"/>
  <c r="DH205" i="12"/>
  <c r="BL204" i="12"/>
  <c r="DV203" i="12"/>
  <c r="CR203" i="12"/>
  <c r="CR205" i="12"/>
  <c r="DZ190" i="12"/>
  <c r="D12" i="13"/>
  <c r="D14" i="13" s="1"/>
  <c r="BM204" i="12"/>
  <c r="BO204" i="12"/>
  <c r="AI179" i="12"/>
  <c r="AI186" i="12"/>
  <c r="AI205" i="12"/>
  <c r="E13" i="13"/>
  <c r="AC179" i="12"/>
  <c r="AC186" i="12"/>
  <c r="AC205" i="12"/>
  <c r="BQ204" i="12"/>
  <c r="D20" i="15"/>
  <c r="BY213" i="12"/>
  <c r="AP179" i="12"/>
  <c r="AP186" i="12"/>
  <c r="BY204" i="12"/>
  <c r="BZ204" i="12"/>
  <c r="CA204" i="12"/>
  <c r="AY205" i="12"/>
  <c r="BA210" i="12"/>
  <c r="AY206" i="12"/>
  <c r="D8" i="15"/>
  <c r="CB204" i="12"/>
  <c r="CC204" i="12"/>
  <c r="D9" i="15"/>
  <c r="BA205" i="12"/>
  <c r="BA212" i="12"/>
  <c r="CD204" i="12"/>
  <c r="CF204" i="12"/>
  <c r="CH204" i="12"/>
  <c r="CO204" i="12"/>
  <c r="CP204" i="12"/>
  <c r="CQ204" i="12"/>
  <c r="CR204" i="12"/>
  <c r="CS204" i="12"/>
  <c r="CT204" i="12"/>
  <c r="CV204" i="12"/>
  <c r="CX204" i="12"/>
  <c r="DE204" i="12"/>
  <c r="DF204" i="12"/>
  <c r="DG204" i="12"/>
  <c r="DH204" i="12"/>
  <c r="DI204" i="12"/>
  <c r="DJ204" i="12"/>
  <c r="DL204" i="12"/>
  <c r="BG186" i="12"/>
  <c r="DN204" i="12"/>
  <c r="DU204" i="12"/>
  <c r="BG205" i="12"/>
  <c r="DV204" i="12"/>
  <c r="DW204" i="12"/>
  <c r="DX204" i="12"/>
  <c r="DY204" i="12"/>
  <c r="DZ204" i="12"/>
  <c r="BB173" i="12"/>
  <c r="BH173" i="12" s="1"/>
  <c r="BO173" i="12" s="1"/>
  <c r="BR173" i="12" s="1"/>
  <c r="BB176" i="12"/>
  <c r="BH176" i="12" s="1"/>
  <c r="BO176" i="12" s="1"/>
  <c r="BB175" i="12"/>
  <c r="BC173" i="12"/>
  <c r="BY162" i="12"/>
  <c r="CF162" i="12" s="1"/>
  <c r="CJ162" i="12" s="1"/>
  <c r="BC175" i="12"/>
  <c r="BH71" i="12"/>
  <c r="BH70" i="12"/>
  <c r="BH69" i="12"/>
  <c r="BO69" i="12" s="1"/>
  <c r="BY69" i="12" s="1"/>
  <c r="BH68" i="12"/>
  <c r="BM68" i="12" s="1"/>
  <c r="BH67" i="12"/>
  <c r="BH66" i="12"/>
  <c r="BH65" i="12"/>
  <c r="BO65" i="12" s="1"/>
  <c r="BY65" i="12" s="1"/>
  <c r="CF65" i="12" s="1"/>
  <c r="BH64" i="12"/>
  <c r="BO64" i="12" s="1"/>
  <c r="BH62" i="12"/>
  <c r="BH58" i="12"/>
  <c r="BH63" i="12"/>
  <c r="BO63" i="12" s="1"/>
  <c r="BH60" i="12"/>
  <c r="BO60" i="12" s="1"/>
  <c r="BY60" i="12" s="1"/>
  <c r="CD60" i="12" s="1"/>
  <c r="BO103" i="12"/>
  <c r="BR103" i="12" s="1"/>
  <c r="BH101" i="12"/>
  <c r="BO101" i="12" s="1"/>
  <c r="BH99" i="12"/>
  <c r="BO99" i="12" s="1"/>
  <c r="BY99" i="12" s="1"/>
  <c r="BH95" i="12"/>
  <c r="BO95" i="12" s="1"/>
  <c r="BY95" i="12" s="1"/>
  <c r="BO94" i="12"/>
  <c r="BS94" i="12" s="1"/>
  <c r="BO92" i="12"/>
  <c r="BR92" i="12" s="1"/>
  <c r="BH90" i="12"/>
  <c r="BO90" i="12" s="1"/>
  <c r="BS90" i="12" s="1"/>
  <c r="BH88" i="12"/>
  <c r="BO88" i="12" s="1"/>
  <c r="BY88" i="12" s="1"/>
  <c r="BR87" i="12"/>
  <c r="BH86" i="12"/>
  <c r="BM86" i="12" s="1"/>
  <c r="BH85" i="12"/>
  <c r="BO85" i="12" s="1"/>
  <c r="BH84" i="12"/>
  <c r="BO84" i="12" s="1"/>
  <c r="BH83" i="12"/>
  <c r="BO83" i="12" s="1"/>
  <c r="BH82" i="12"/>
  <c r="BM82" i="12" s="1"/>
  <c r="BH81" i="12"/>
  <c r="BO81" i="12" s="1"/>
  <c r="BH80" i="12"/>
  <c r="BM80" i="12" s="1"/>
  <c r="BH78" i="12"/>
  <c r="BM78" i="12" s="1"/>
  <c r="BH77" i="12"/>
  <c r="BM77" i="12" s="1"/>
  <c r="BH76" i="12"/>
  <c r="BO76" i="12" s="1"/>
  <c r="BH75" i="12"/>
  <c r="BO75" i="12" s="1"/>
  <c r="BH74" i="12"/>
  <c r="BO74" i="12" s="1"/>
  <c r="BH73" i="12"/>
  <c r="BO73" i="12" s="1"/>
  <c r="BH72" i="12"/>
  <c r="BM72" i="12" s="1"/>
  <c r="BH182" i="12"/>
  <c r="BM182" i="12" s="1"/>
  <c r="BM147" i="12"/>
  <c r="BC176" i="12"/>
  <c r="BB105" i="12"/>
  <c r="BH105" i="12" s="1"/>
  <c r="BO105" i="12" s="1"/>
  <c r="BB109" i="12"/>
  <c r="BH109" i="12" s="1"/>
  <c r="BB108" i="12"/>
  <c r="BH108" i="12" s="1"/>
  <c r="BB107" i="12"/>
  <c r="BH107" i="12" s="1"/>
  <c r="BO107" i="12" s="1"/>
  <c r="BR107" i="12" s="1"/>
  <c r="BH181" i="12"/>
  <c r="BO181" i="12" s="1"/>
  <c r="BH129" i="12"/>
  <c r="BO129" i="12" s="1"/>
  <c r="BH126" i="12"/>
  <c r="BO126" i="12" s="1"/>
  <c r="BR126" i="12" s="1"/>
  <c r="BR124" i="12"/>
  <c r="BH122" i="12"/>
  <c r="BM122" i="12" s="1"/>
  <c r="BH120" i="12"/>
  <c r="BM120" i="12" s="1"/>
  <c r="BH118" i="12"/>
  <c r="BO118" i="12" s="1"/>
  <c r="BS118" i="12" s="1"/>
  <c r="BR117" i="12"/>
  <c r="BH114" i="12"/>
  <c r="BM114" i="12" s="1"/>
  <c r="BH112" i="12"/>
  <c r="BO112" i="12" s="1"/>
  <c r="BY112" i="12" s="1"/>
  <c r="CD112" i="12" s="1"/>
  <c r="BS111" i="12"/>
  <c r="BH104" i="12"/>
  <c r="BO104" i="12" s="1"/>
  <c r="BY104" i="12" s="1"/>
  <c r="CD104" i="12" s="1"/>
  <c r="BH163" i="12"/>
  <c r="BM163" i="12" s="1"/>
  <c r="BS157" i="12"/>
  <c r="BH42" i="12"/>
  <c r="BO42" i="12" s="1"/>
  <c r="BM91" i="12"/>
  <c r="BM136" i="12"/>
  <c r="BT163" i="12"/>
  <c r="BT179" i="12" s="1"/>
  <c r="BT186" i="12" s="1"/>
  <c r="BH59" i="12"/>
  <c r="BM59" i="12" s="1"/>
  <c r="BH43" i="12"/>
  <c r="BO43" i="12" s="1"/>
  <c r="BS43" i="12" s="1"/>
  <c r="BH40" i="12"/>
  <c r="BM40" i="12" s="1"/>
  <c r="BH37" i="12"/>
  <c r="BM37" i="12" s="1"/>
  <c r="BH36" i="12"/>
  <c r="BM36" i="12" s="1"/>
  <c r="BH32" i="12"/>
  <c r="BM32" i="12" s="1"/>
  <c r="BH28" i="12"/>
  <c r="BM28" i="12" s="1"/>
  <c r="BH25" i="12"/>
  <c r="BO25" i="12" s="1"/>
  <c r="BH20" i="12"/>
  <c r="BO20" i="12" s="1"/>
  <c r="BS20" i="12" s="1"/>
  <c r="BH16" i="12"/>
  <c r="BM16" i="12" s="1"/>
  <c r="BH11" i="12"/>
  <c r="BO11" i="12" s="1"/>
  <c r="BH10" i="12"/>
  <c r="BM10" i="12" s="1"/>
  <c r="BH161" i="12"/>
  <c r="BM161" i="12" s="1"/>
  <c r="BH135" i="12"/>
  <c r="BO135" i="12" s="1"/>
  <c r="BH61" i="12"/>
  <c r="BM61" i="12" s="1"/>
  <c r="BH57" i="12"/>
  <c r="BM57" i="12" s="1"/>
  <c r="BH45" i="12"/>
  <c r="BO45" i="12" s="1"/>
  <c r="BH41" i="12"/>
  <c r="BO41" i="12" s="1"/>
  <c r="BH39" i="12"/>
  <c r="BM39" i="12" s="1"/>
  <c r="BH34" i="12"/>
  <c r="BM34" i="12" s="1"/>
  <c r="BH30" i="12"/>
  <c r="BM30" i="12" s="1"/>
  <c r="BH27" i="12"/>
  <c r="BM27" i="12" s="1"/>
  <c r="BH18" i="12"/>
  <c r="BO18" i="12" s="1"/>
  <c r="BH13" i="12"/>
  <c r="BM13" i="12" s="1"/>
  <c r="BM103" i="12"/>
  <c r="BB179" i="12"/>
  <c r="BB186" i="12" s="1"/>
  <c r="BR91" i="12"/>
  <c r="BR141" i="12"/>
  <c r="BO71" i="12"/>
  <c r="BR71" i="12" s="1"/>
  <c r="BM71" i="12"/>
  <c r="BO54" i="12"/>
  <c r="BY54" i="12" s="1"/>
  <c r="CD54" i="12" s="1"/>
  <c r="BS113" i="12"/>
  <c r="BM93" i="12"/>
  <c r="BO49" i="12"/>
  <c r="BS49" i="12" s="1"/>
  <c r="BM38" i="12"/>
  <c r="BM67" i="12"/>
  <c r="BO67" i="12"/>
  <c r="BS67" i="12" s="1"/>
  <c r="BO31" i="12"/>
  <c r="BQ31" i="12" s="1"/>
  <c r="BR147" i="12"/>
  <c r="BS136" i="12"/>
  <c r="BY124" i="12"/>
  <c r="CD124" i="12" s="1"/>
  <c r="BY51" i="12"/>
  <c r="CD51" i="12" s="1"/>
  <c r="BH145" i="12"/>
  <c r="BH79" i="12"/>
  <c r="BO79" i="12" s="1"/>
  <c r="BR79" i="12" s="1"/>
  <c r="BH143" i="12"/>
  <c r="BO143" i="12"/>
  <c r="BS143" i="12" s="1"/>
  <c r="BH144" i="12"/>
  <c r="BM144" i="12" s="1"/>
  <c r="U50" i="23"/>
  <c r="M50" i="23"/>
  <c r="Q50" i="23"/>
  <c r="BR143" i="12"/>
  <c r="BO145" i="12"/>
  <c r="BM145" i="12"/>
  <c r="BO144" i="12"/>
  <c r="BM143" i="12"/>
  <c r="E53" i="23"/>
  <c r="I50" i="23"/>
  <c r="C82" i="23"/>
  <c r="BY113" i="12"/>
  <c r="CF113" i="12" s="1"/>
  <c r="BS121" i="12"/>
  <c r="BY121" i="12"/>
  <c r="CD121" i="12" s="1"/>
  <c r="BH175" i="12"/>
  <c r="BO175" i="12" s="1"/>
  <c r="BM87" i="12"/>
  <c r="BR38" i="12"/>
  <c r="BR111" i="12"/>
  <c r="BY111" i="12"/>
  <c r="CD111" i="12" s="1"/>
  <c r="BM159" i="12"/>
  <c r="BS102" i="12"/>
  <c r="BY102" i="12"/>
  <c r="CF102" i="12" s="1"/>
  <c r="CJ102" i="12" s="1"/>
  <c r="BM94" i="12"/>
  <c r="BM119" i="12"/>
  <c r="BM137" i="12"/>
  <c r="BS38" i="12"/>
  <c r="BS137" i="12"/>
  <c r="BY137" i="12"/>
  <c r="CF137" i="12" s="1"/>
  <c r="CO137" i="12" s="1"/>
  <c r="BS123" i="12"/>
  <c r="BY123" i="12"/>
  <c r="CD123" i="12" s="1"/>
  <c r="BM102" i="12"/>
  <c r="BM141" i="12"/>
  <c r="BC179" i="12"/>
  <c r="BC186" i="12" s="1"/>
  <c r="BO127" i="12"/>
  <c r="BS127" i="12" s="1"/>
  <c r="BO58" i="12"/>
  <c r="BS58" i="12" s="1"/>
  <c r="BM58" i="12"/>
  <c r="BO66" i="12"/>
  <c r="BR66" i="12" s="1"/>
  <c r="BM66" i="12"/>
  <c r="BM70" i="12"/>
  <c r="BO70" i="12"/>
  <c r="BS70" i="12" s="1"/>
  <c r="BO62" i="12"/>
  <c r="BQ62" i="12" s="1"/>
  <c r="BM62" i="12"/>
  <c r="BO77" i="12"/>
  <c r="BR77" i="12" s="1"/>
  <c r="BO86" i="12"/>
  <c r="BS86" i="12" s="1"/>
  <c r="BM74" i="12"/>
  <c r="BM105" i="12"/>
  <c r="BM113" i="12"/>
  <c r="BS156" i="12"/>
  <c r="BY156" i="12"/>
  <c r="CD156" i="12" s="1"/>
  <c r="BM121" i="12"/>
  <c r="BM117" i="12"/>
  <c r="BS119" i="12"/>
  <c r="BY119" i="12"/>
  <c r="CF119" i="12" s="1"/>
  <c r="BM116" i="12"/>
  <c r="BM123" i="12"/>
  <c r="BM128" i="12"/>
  <c r="BM156" i="12"/>
  <c r="BM111" i="12"/>
  <c r="BM157" i="12"/>
  <c r="BM124" i="12"/>
  <c r="BO125" i="12"/>
  <c r="BS125" i="12" s="1"/>
  <c r="BM125" i="12"/>
  <c r="BM42" i="12"/>
  <c r="BO115" i="12"/>
  <c r="BY115" i="12" s="1"/>
  <c r="BM115" i="12"/>
  <c r="BY126" i="12"/>
  <c r="CF126" i="12" s="1"/>
  <c r="CI126" i="12" s="1"/>
  <c r="BM177" i="12"/>
  <c r="BS177" i="12"/>
  <c r="BR177" i="12"/>
  <c r="BM45" i="12"/>
  <c r="BM135" i="12"/>
  <c r="BO172" i="12"/>
  <c r="BR172" i="12" s="1"/>
  <c r="BM172" i="12"/>
  <c r="BO16" i="12"/>
  <c r="BR16" i="12" s="1"/>
  <c r="BO32" i="12"/>
  <c r="BY32" i="12" s="1"/>
  <c r="BM43" i="12"/>
  <c r="BY196" i="12"/>
  <c r="E20" i="15" s="1"/>
  <c r="BM198" i="12"/>
  <c r="BM203" i="12" s="1"/>
  <c r="BR159" i="12"/>
  <c r="BY159" i="12"/>
  <c r="CF159" i="12" s="1"/>
  <c r="CF141" i="12"/>
  <c r="CI141" i="12" s="1"/>
  <c r="CD141" i="12"/>
  <c r="BY116" i="12"/>
  <c r="CD116" i="12" s="1"/>
  <c r="BY90" i="12"/>
  <c r="CD90" i="12" s="1"/>
  <c r="BY71" i="12"/>
  <c r="CF71" i="12" s="1"/>
  <c r="CO71" i="12" s="1"/>
  <c r="BY92" i="12"/>
  <c r="CD92" i="12" s="1"/>
  <c r="BY101" i="12"/>
  <c r="CD101" i="12" s="1"/>
  <c r="BR49" i="12"/>
  <c r="BY23" i="12"/>
  <c r="CD23" i="12" s="1"/>
  <c r="BY67" i="12"/>
  <c r="CF67" i="12" s="1"/>
  <c r="CI67" i="12" s="1"/>
  <c r="BQ106" i="12"/>
  <c r="BR106" i="12"/>
  <c r="BS106" i="12"/>
  <c r="BR93" i="12"/>
  <c r="BS93" i="12"/>
  <c r="BY38" i="12"/>
  <c r="CF38" i="12" s="1"/>
  <c r="CO38" i="12" s="1"/>
  <c r="CT38" i="12" s="1"/>
  <c r="BY94" i="12"/>
  <c r="CD94" i="12" s="1"/>
  <c r="C7" i="24"/>
  <c r="E69" i="23"/>
  <c r="BS145" i="12"/>
  <c r="BR145" i="12"/>
  <c r="BR144" i="12"/>
  <c r="BS144" i="12"/>
  <c r="BS79" i="12"/>
  <c r="E48" i="23"/>
  <c r="E67" i="23"/>
  <c r="BS66" i="12"/>
  <c r="BR58" i="12"/>
  <c r="BY177" i="12"/>
  <c r="CD177" i="12" s="1"/>
  <c r="BR32" i="12"/>
  <c r="CJ141" i="12"/>
  <c r="BY93" i="12"/>
  <c r="CF93" i="12" s="1"/>
  <c r="BY106" i="12"/>
  <c r="BY145" i="12"/>
  <c r="CD145" i="12" s="1"/>
  <c r="E64" i="23"/>
  <c r="BY144" i="12"/>
  <c r="CD144" i="12" s="1"/>
  <c r="E49" i="23"/>
  <c r="E54" i="23" s="1"/>
  <c r="E79" i="23" s="1"/>
  <c r="C54" i="23"/>
  <c r="C77" i="23" s="1"/>
  <c r="I48" i="23"/>
  <c r="CF145" i="12"/>
  <c r="CJ145" i="12" s="1"/>
  <c r="CO145" i="12" s="1"/>
  <c r="BX63" i="12"/>
  <c r="BX179" i="12" s="1"/>
  <c r="BX186" i="12" s="1"/>
  <c r="G24" i="23" s="1"/>
  <c r="I24" i="23" s="1"/>
  <c r="BY74" i="12"/>
  <c r="CD74" i="12" s="1"/>
  <c r="BY86" i="12"/>
  <c r="CF86" i="12" s="1"/>
  <c r="CO86" i="12" s="1"/>
  <c r="CV86" i="12" s="1"/>
  <c r="CF144" i="12"/>
  <c r="BY176" i="12"/>
  <c r="CD176" i="12" s="1"/>
  <c r="BY135" i="12"/>
  <c r="CD135" i="12" s="1"/>
  <c r="BY172" i="12"/>
  <c r="CF172" i="12" s="1"/>
  <c r="M48" i="23"/>
  <c r="M68" i="23"/>
  <c r="I68" i="23"/>
  <c r="CI144" i="12"/>
  <c r="CJ144" i="12"/>
  <c r="CI145" i="12"/>
  <c r="H70" i="23"/>
  <c r="L70" i="23"/>
  <c r="L73" i="23" s="1"/>
  <c r="CF176" i="12"/>
  <c r="CO144" i="12"/>
  <c r="CT144" i="12" s="1"/>
  <c r="CV144" i="12"/>
  <c r="Q48" i="23"/>
  <c r="M64" i="23"/>
  <c r="CY144" i="12"/>
  <c r="CZ144" i="12"/>
  <c r="Q67" i="23"/>
  <c r="DE144" i="12"/>
  <c r="DJ144" i="12" s="1"/>
  <c r="Q64" i="23"/>
  <c r="Q68" i="23"/>
  <c r="DL144" i="12"/>
  <c r="DO144" i="12" s="1"/>
  <c r="U48" i="23"/>
  <c r="P70" i="23"/>
  <c r="P73" i="23" s="1"/>
  <c r="U67" i="23"/>
  <c r="U68" i="23"/>
  <c r="DP144" i="12"/>
  <c r="U64" i="23"/>
  <c r="T70" i="23"/>
  <c r="T73" i="23" s="1"/>
  <c r="I64" i="23"/>
  <c r="O47" i="23"/>
  <c r="I47" i="23"/>
  <c r="M67" i="23"/>
  <c r="I67" i="23"/>
  <c r="F24" i="26"/>
  <c r="F32" i="26"/>
  <c r="F13" i="26"/>
  <c r="D30" i="26"/>
  <c r="H73" i="23"/>
  <c r="U72" i="23"/>
  <c r="Q72" i="23"/>
  <c r="M72" i="23"/>
  <c r="G82" i="23"/>
  <c r="K82" i="23" s="1"/>
  <c r="O82" i="23" s="1"/>
  <c r="S82" i="23" s="1"/>
  <c r="I72" i="23"/>
  <c r="I66" i="23"/>
  <c r="K49" i="23"/>
  <c r="K54" i="23" s="1"/>
  <c r="K77" i="23" s="1"/>
  <c r="M47" i="23"/>
  <c r="G77" i="23"/>
  <c r="I49" i="23"/>
  <c r="G54" i="23"/>
  <c r="C6" i="24"/>
  <c r="C4" i="24"/>
  <c r="C10" i="24"/>
  <c r="C9" i="24"/>
  <c r="C8" i="24"/>
  <c r="C5" i="24"/>
  <c r="E57" i="23"/>
  <c r="C3" i="24"/>
  <c r="C11" i="24" s="1"/>
  <c r="E60" i="23"/>
  <c r="BY58" i="12" l="1"/>
  <c r="BY49" i="12"/>
  <c r="CD49" i="12" s="1"/>
  <c r="BO28" i="12"/>
  <c r="BR28" i="12" s="1"/>
  <c r="BQ58" i="12"/>
  <c r="CF111" i="12"/>
  <c r="CI111" i="12" s="1"/>
  <c r="CF23" i="12"/>
  <c r="BR31" i="12"/>
  <c r="BO72" i="12"/>
  <c r="BR72" i="12" s="1"/>
  <c r="CF99" i="12"/>
  <c r="CO99" i="12" s="1"/>
  <c r="CD99" i="12"/>
  <c r="BY28" i="12"/>
  <c r="CD28" i="12" s="1"/>
  <c r="BO39" i="12"/>
  <c r="BO10" i="12"/>
  <c r="BR10" i="12" s="1"/>
  <c r="BR67" i="12"/>
  <c r="BM25" i="12"/>
  <c r="BM84" i="12"/>
  <c r="BO122" i="12"/>
  <c r="BR122" i="12" s="1"/>
  <c r="BM81" i="12"/>
  <c r="BQ18" i="12"/>
  <c r="BR18" i="12"/>
  <c r="BY70" i="12"/>
  <c r="BY62" i="12"/>
  <c r="CD62" i="12" s="1"/>
  <c r="BR39" i="12"/>
  <c r="BS10" i="12"/>
  <c r="CD119" i="12"/>
  <c r="BR70" i="12"/>
  <c r="BO61" i="12"/>
  <c r="BQ61" i="12" s="1"/>
  <c r="BM18" i="12"/>
  <c r="BO13" i="12"/>
  <c r="BR13" i="12" s="1"/>
  <c r="C29" i="23"/>
  <c r="E29" i="23" s="1"/>
  <c r="CD162" i="12"/>
  <c r="CI38" i="12"/>
  <c r="BS28" i="12"/>
  <c r="CD113" i="12"/>
  <c r="BO34" i="12"/>
  <c r="BS34" i="12" s="1"/>
  <c r="BM75" i="12"/>
  <c r="BM90" i="12"/>
  <c r="BO114" i="12"/>
  <c r="BR114" i="12" s="1"/>
  <c r="BY42" i="12"/>
  <c r="CD42" i="12" s="1"/>
  <c r="BS42" i="12"/>
  <c r="BQ42" i="12"/>
  <c r="BQ105" i="12"/>
  <c r="BR105" i="12"/>
  <c r="BS81" i="12"/>
  <c r="BR81" i="12"/>
  <c r="BY81" i="12"/>
  <c r="CF81" i="12" s="1"/>
  <c r="BS32" i="12"/>
  <c r="CF135" i="12"/>
  <c r="CD65" i="12"/>
  <c r="BY18" i="12"/>
  <c r="CD18" i="12" s="1"/>
  <c r="BY77" i="12"/>
  <c r="BY72" i="12"/>
  <c r="BQ32" i="12"/>
  <c r="BY198" i="12"/>
  <c r="BY203" i="12" s="1"/>
  <c r="BR115" i="12"/>
  <c r="BR86" i="12"/>
  <c r="CF124" i="12"/>
  <c r="BY118" i="12"/>
  <c r="CF118" i="12" s="1"/>
  <c r="BY107" i="12"/>
  <c r="CD107" i="12" s="1"/>
  <c r="BM20" i="12"/>
  <c r="BM106" i="12"/>
  <c r="BM64" i="12"/>
  <c r="BR90" i="12"/>
  <c r="CD93" i="12"/>
  <c r="BS18" i="12"/>
  <c r="CF106" i="12"/>
  <c r="BS115" i="12"/>
  <c r="BS77" i="12"/>
  <c r="CF121" i="12"/>
  <c r="CO121" i="12" s="1"/>
  <c r="BO59" i="12"/>
  <c r="BS126" i="12"/>
  <c r="BM65" i="12"/>
  <c r="BO68" i="12"/>
  <c r="BR68" i="12" s="1"/>
  <c r="CI113" i="12"/>
  <c r="CJ113" i="12"/>
  <c r="CO113" i="12"/>
  <c r="BR75" i="12"/>
  <c r="BY75" i="12"/>
  <c r="BS84" i="12"/>
  <c r="BY84" i="12"/>
  <c r="CF88" i="12"/>
  <c r="CO88" i="12" s="1"/>
  <c r="CD88" i="12"/>
  <c r="CO93" i="12"/>
  <c r="CJ93" i="12"/>
  <c r="CI93" i="12"/>
  <c r="CJ65" i="12"/>
  <c r="CO65" i="12"/>
  <c r="CV65" i="12" s="1"/>
  <c r="CZ65" i="12" s="1"/>
  <c r="CI65" i="12"/>
  <c r="CV137" i="12"/>
  <c r="CT137" i="12"/>
  <c r="BM167" i="12"/>
  <c r="BO167" i="12"/>
  <c r="BO166" i="12"/>
  <c r="BM166" i="12"/>
  <c r="BM139" i="12"/>
  <c r="BO139" i="12"/>
  <c r="CD172" i="12"/>
  <c r="CT86" i="12"/>
  <c r="BY214" i="12"/>
  <c r="BY215" i="12" s="1"/>
  <c r="CI135" i="12"/>
  <c r="CJ81" i="12"/>
  <c r="CD81" i="12"/>
  <c r="BY16" i="12"/>
  <c r="BX66" i="12"/>
  <c r="CF94" i="12"/>
  <c r="CJ121" i="12"/>
  <c r="BR43" i="12"/>
  <c r="BQ34" i="12"/>
  <c r="BR42" i="12"/>
  <c r="CF90" i="12"/>
  <c r="CD126" i="12"/>
  <c r="BY103" i="12"/>
  <c r="CD103" i="12" s="1"/>
  <c r="CO162" i="12"/>
  <c r="BY31" i="12"/>
  <c r="CD31" i="12" s="1"/>
  <c r="BY173" i="12"/>
  <c r="CF173" i="12" s="1"/>
  <c r="BO57" i="12"/>
  <c r="BY57" i="12" s="1"/>
  <c r="BO37" i="12"/>
  <c r="BO78" i="12"/>
  <c r="BM88" i="12"/>
  <c r="BM173" i="12"/>
  <c r="CF74" i="12"/>
  <c r="CO74" i="12" s="1"/>
  <c r="CV74" i="12" s="1"/>
  <c r="BY61" i="12"/>
  <c r="CF61" i="12" s="1"/>
  <c r="BY66" i="12"/>
  <c r="CI121" i="12"/>
  <c r="BY68" i="12"/>
  <c r="CF68" i="12" s="1"/>
  <c r="CJ68" i="12" s="1"/>
  <c r="BS13" i="12"/>
  <c r="BR34" i="12"/>
  <c r="CF18" i="12"/>
  <c r="CJ18" i="12" s="1"/>
  <c r="CD102" i="12"/>
  <c r="BY79" i="12"/>
  <c r="CF79" i="12" s="1"/>
  <c r="G22" i="23"/>
  <c r="I22" i="23" s="1"/>
  <c r="BM176" i="12"/>
  <c r="BM129" i="12"/>
  <c r="BS122" i="12"/>
  <c r="BM83" i="12"/>
  <c r="BM60" i="12"/>
  <c r="BM154" i="12"/>
  <c r="CV93" i="12"/>
  <c r="CT93" i="12"/>
  <c r="CD106" i="12"/>
  <c r="CI23" i="12"/>
  <c r="CO23" i="12"/>
  <c r="CT23" i="12" s="1"/>
  <c r="CJ106" i="12"/>
  <c r="CO106" i="12"/>
  <c r="CT106" i="12" s="1"/>
  <c r="BS74" i="12"/>
  <c r="BR74" i="12"/>
  <c r="BR83" i="12"/>
  <c r="BS83" i="12"/>
  <c r="BQ60" i="12"/>
  <c r="CF60" i="12" s="1"/>
  <c r="BS60" i="12"/>
  <c r="BR60" i="12"/>
  <c r="BS64" i="12"/>
  <c r="BY64" i="12"/>
  <c r="CF64" i="12" s="1"/>
  <c r="CO64" i="12" s="1"/>
  <c r="BR64" i="12"/>
  <c r="BS176" i="12"/>
  <c r="BR176" i="12"/>
  <c r="CT160" i="12"/>
  <c r="CV160" i="12"/>
  <c r="DE160" i="12" s="1"/>
  <c r="CJ176" i="12"/>
  <c r="CO176" i="12"/>
  <c r="CI172" i="12"/>
  <c r="CO172" i="12"/>
  <c r="CD70" i="12"/>
  <c r="CF70" i="12"/>
  <c r="CI70" i="12" s="1"/>
  <c r="BS25" i="12"/>
  <c r="BY25" i="12"/>
  <c r="BM109" i="12"/>
  <c r="BO109" i="12"/>
  <c r="CD95" i="12"/>
  <c r="CF95" i="12"/>
  <c r="BS65" i="12"/>
  <c r="BR65" i="12"/>
  <c r="CJ172" i="12"/>
  <c r="CI176" i="12"/>
  <c r="CI68" i="12"/>
  <c r="BX74" i="12"/>
  <c r="BY83" i="12"/>
  <c r="CD79" i="12"/>
  <c r="CO126" i="12"/>
  <c r="BY10" i="12"/>
  <c r="CD10" i="12" s="1"/>
  <c r="BY39" i="12"/>
  <c r="BY34" i="12"/>
  <c r="CD34" i="12" s="1"/>
  <c r="CJ126" i="12"/>
  <c r="CF54" i="12"/>
  <c r="BQ13" i="12"/>
  <c r="BS172" i="12"/>
  <c r="BQ10" i="12"/>
  <c r="BS37" i="12"/>
  <c r="BQ20" i="12"/>
  <c r="CF31" i="12"/>
  <c r="CF42" i="12"/>
  <c r="BR125" i="12"/>
  <c r="CF103" i="12"/>
  <c r="CI103" i="12" s="1"/>
  <c r="BR84" i="12"/>
  <c r="BS75" i="12"/>
  <c r="BR62" i="12"/>
  <c r="CF51" i="12"/>
  <c r="CF92" i="12"/>
  <c r="BO36" i="12"/>
  <c r="BO80" i="12"/>
  <c r="BY80" i="12" s="1"/>
  <c r="BO182" i="12"/>
  <c r="BM118" i="12"/>
  <c r="BS173" i="12"/>
  <c r="BM95" i="12"/>
  <c r="CF62" i="12"/>
  <c r="CO62" i="12" s="1"/>
  <c r="CT62" i="12" s="1"/>
  <c r="BY13" i="12"/>
  <c r="BY37" i="12"/>
  <c r="BY20" i="12"/>
  <c r="CD20" i="12" s="1"/>
  <c r="BY125" i="12"/>
  <c r="CF125" i="12" s="1"/>
  <c r="CD38" i="12"/>
  <c r="C39" i="23"/>
  <c r="G39" i="23" s="1"/>
  <c r="K39" i="23" s="1"/>
  <c r="O39" i="23" s="1"/>
  <c r="S39" i="23" s="1"/>
  <c r="BS62" i="12"/>
  <c r="BS68" i="12"/>
  <c r="BO161" i="12"/>
  <c r="BO120" i="12"/>
  <c r="BS120" i="12" s="1"/>
  <c r="H46" i="26"/>
  <c r="CT88" i="12"/>
  <c r="CV88" i="12"/>
  <c r="CJ86" i="12"/>
  <c r="CI86" i="12"/>
  <c r="BQ11" i="12"/>
  <c r="BR11" i="12"/>
  <c r="BS11" i="12"/>
  <c r="BY11" i="12"/>
  <c r="BR76" i="12"/>
  <c r="BY76" i="12"/>
  <c r="BS76" i="12"/>
  <c r="BY85" i="12"/>
  <c r="BR85" i="12"/>
  <c r="BS85" i="12"/>
  <c r="CV99" i="12"/>
  <c r="DE99" i="12" s="1"/>
  <c r="CT99" i="12"/>
  <c r="CD66" i="12"/>
  <c r="CF66" i="12"/>
  <c r="CF69" i="12"/>
  <c r="CD69" i="12"/>
  <c r="BS135" i="12"/>
  <c r="BR135" i="12"/>
  <c r="BR73" i="12"/>
  <c r="BS73" i="12"/>
  <c r="BX73" i="12"/>
  <c r="BY73" i="12"/>
  <c r="D6" i="24"/>
  <c r="CF32" i="12"/>
  <c r="CD32" i="12"/>
  <c r="E18" i="13"/>
  <c r="E13" i="15"/>
  <c r="BY63" i="12"/>
  <c r="BR63" i="12"/>
  <c r="BS63" i="12"/>
  <c r="BS69" i="12"/>
  <c r="BR69" i="12"/>
  <c r="BM174" i="12"/>
  <c r="BO174" i="12"/>
  <c r="BO183" i="12"/>
  <c r="BS183" i="12" s="1"/>
  <c r="BM183" i="12"/>
  <c r="BO170" i="12"/>
  <c r="BR170" i="12" s="1"/>
  <c r="BM170" i="12"/>
  <c r="BO168" i="12"/>
  <c r="BM168" i="12"/>
  <c r="BO165" i="12"/>
  <c r="BR165" i="12" s="1"/>
  <c r="BM165" i="12"/>
  <c r="BR164" i="12"/>
  <c r="BS164" i="12"/>
  <c r="BY164" i="12"/>
  <c r="CV23" i="12"/>
  <c r="CD86" i="12"/>
  <c r="CD64" i="12"/>
  <c r="CD68" i="12"/>
  <c r="CJ23" i="12"/>
  <c r="BQ16" i="12"/>
  <c r="BR20" i="12"/>
  <c r="CD173" i="12"/>
  <c r="CD118" i="12"/>
  <c r="BS139" i="12"/>
  <c r="BS72" i="12"/>
  <c r="BO27" i="12"/>
  <c r="BO40" i="12"/>
  <c r="BM11" i="12"/>
  <c r="BO82" i="12"/>
  <c r="BM73" i="12"/>
  <c r="BM69" i="12"/>
  <c r="BM63" i="12"/>
  <c r="BO163" i="12"/>
  <c r="BQ107" i="12"/>
  <c r="CF107" i="12" s="1"/>
  <c r="BM181" i="12"/>
  <c r="BS31" i="12"/>
  <c r="CI162" i="12"/>
  <c r="BM104" i="12"/>
  <c r="BM76" i="12"/>
  <c r="BM85" i="12"/>
  <c r="BS107" i="12"/>
  <c r="BS141" i="12"/>
  <c r="CD58" i="12"/>
  <c r="CH31" i="12"/>
  <c r="BR109" i="12"/>
  <c r="CD159" i="12"/>
  <c r="BM112" i="12"/>
  <c r="BM107" i="12"/>
  <c r="BM41" i="12"/>
  <c r="BR118" i="12"/>
  <c r="BM79" i="12"/>
  <c r="BO171" i="12"/>
  <c r="BS171" i="12" s="1"/>
  <c r="CF10" i="12"/>
  <c r="BM175" i="12"/>
  <c r="D7" i="24"/>
  <c r="D4" i="24"/>
  <c r="D5" i="24"/>
  <c r="D10" i="24"/>
  <c r="D8" i="24"/>
  <c r="D9" i="24"/>
  <c r="D3" i="24"/>
  <c r="CY93" i="12"/>
  <c r="CZ93" i="12"/>
  <c r="DE93" i="12"/>
  <c r="CI64" i="12"/>
  <c r="CJ64" i="12"/>
  <c r="CT126" i="12"/>
  <c r="CV126" i="12"/>
  <c r="CD39" i="12"/>
  <c r="CF77" i="12"/>
  <c r="CD77" i="12"/>
  <c r="CI99" i="12"/>
  <c r="CJ99" i="12"/>
  <c r="CO94" i="12"/>
  <c r="CJ94" i="12"/>
  <c r="CI94" i="12"/>
  <c r="CH38" i="12"/>
  <c r="CV38" i="12" s="1"/>
  <c r="CJ38" i="12"/>
  <c r="CI102" i="12"/>
  <c r="CO102" i="12"/>
  <c r="BQ45" i="12"/>
  <c r="BY45" i="12"/>
  <c r="BS45" i="12"/>
  <c r="BR45" i="12"/>
  <c r="BR183" i="12"/>
  <c r="CJ74" i="12"/>
  <c r="CI74" i="12"/>
  <c r="CH106" i="12"/>
  <c r="CV106" i="12" s="1"/>
  <c r="CI106" i="12"/>
  <c r="CD115" i="12"/>
  <c r="CF115" i="12"/>
  <c r="CD75" i="12"/>
  <c r="CF75" i="12"/>
  <c r="CJ71" i="12"/>
  <c r="CI71" i="12"/>
  <c r="BS165" i="12"/>
  <c r="BO26" i="12"/>
  <c r="BM26" i="12"/>
  <c r="CZ88" i="12"/>
  <c r="CY88" i="12"/>
  <c r="DE88" i="12"/>
  <c r="CT121" i="12"/>
  <c r="CV121" i="12"/>
  <c r="CD84" i="12"/>
  <c r="CF84" i="12"/>
  <c r="CI42" i="12"/>
  <c r="CH42" i="12"/>
  <c r="CI159" i="12"/>
  <c r="CJ159" i="12"/>
  <c r="CO159" i="12"/>
  <c r="CF73" i="12"/>
  <c r="CD73" i="12"/>
  <c r="CJ62" i="12"/>
  <c r="CH62" i="12"/>
  <c r="CV62" i="12" s="1"/>
  <c r="CI62" i="12"/>
  <c r="CV71" i="12"/>
  <c r="CT71" i="12"/>
  <c r="CF16" i="12"/>
  <c r="CD16" i="12"/>
  <c r="CF104" i="12"/>
  <c r="CF177" i="12"/>
  <c r="BY105" i="12"/>
  <c r="CJ95" i="12"/>
  <c r="CZ160" i="12"/>
  <c r="CJ67" i="12"/>
  <c r="CF116" i="12"/>
  <c r="BR25" i="12"/>
  <c r="BQ28" i="12"/>
  <c r="CF28" i="12" s="1"/>
  <c r="BR61" i="12"/>
  <c r="BS16" i="12"/>
  <c r="BS27" i="12"/>
  <c r="BS105" i="12"/>
  <c r="BS182" i="12"/>
  <c r="CF101" i="12"/>
  <c r="CF156" i="12"/>
  <c r="BO30" i="12"/>
  <c r="BR127" i="12"/>
  <c r="BS114" i="12"/>
  <c r="BS103" i="12"/>
  <c r="BO184" i="12"/>
  <c r="CO67" i="12"/>
  <c r="CO111" i="12"/>
  <c r="CO141" i="12"/>
  <c r="BY43" i="12"/>
  <c r="CY160" i="12"/>
  <c r="BS61" i="12"/>
  <c r="BQ43" i="12"/>
  <c r="CF112" i="12"/>
  <c r="CD67" i="12"/>
  <c r="CD137" i="12"/>
  <c r="CF123" i="12"/>
  <c r="CD71" i="12"/>
  <c r="BY161" i="12"/>
  <c r="CJ111" i="12"/>
  <c r="BY114" i="12"/>
  <c r="BR94" i="12"/>
  <c r="CD160" i="12"/>
  <c r="C10" i="23"/>
  <c r="CX106" i="12"/>
  <c r="CJ118" i="12"/>
  <c r="CO118" i="12"/>
  <c r="CI118" i="12"/>
  <c r="BO152" i="12"/>
  <c r="BM152" i="12"/>
  <c r="BM24" i="12"/>
  <c r="BO24" i="12"/>
  <c r="CZ86" i="12"/>
  <c r="CY86" i="12"/>
  <c r="DE86" i="12"/>
  <c r="DE65" i="12"/>
  <c r="CY65" i="12"/>
  <c r="CT65" i="12"/>
  <c r="BR104" i="12"/>
  <c r="BS104" i="12"/>
  <c r="BO148" i="12"/>
  <c r="BM148" i="12"/>
  <c r="BO17" i="12"/>
  <c r="BS17" i="12" s="1"/>
  <c r="BM17" i="12"/>
  <c r="BO12" i="12"/>
  <c r="BM12" i="12"/>
  <c r="BO8" i="12"/>
  <c r="BM8" i="12"/>
  <c r="BO6" i="12"/>
  <c r="BM6" i="12"/>
  <c r="BM179" i="12" s="1"/>
  <c r="BM186" i="12" s="1"/>
  <c r="BM205" i="12" s="1"/>
  <c r="BH179" i="12"/>
  <c r="BH186" i="12" s="1"/>
  <c r="BR181" i="12"/>
  <c r="BS181" i="12"/>
  <c r="BY181" i="12"/>
  <c r="BO108" i="12"/>
  <c r="BS108" i="12" s="1"/>
  <c r="BM108" i="12"/>
  <c r="BI205" i="12"/>
  <c r="BY41" i="12"/>
  <c r="BR41" i="12"/>
  <c r="BS41" i="12"/>
  <c r="BS168" i="12"/>
  <c r="BR168" i="12"/>
  <c r="BY168" i="12"/>
  <c r="BO153" i="12"/>
  <c r="BM153" i="12"/>
  <c r="BO53" i="12"/>
  <c r="BM53" i="12"/>
  <c r="BO52" i="12"/>
  <c r="BM52" i="12"/>
  <c r="BM48" i="12"/>
  <c r="BO48" i="12"/>
  <c r="BM33" i="12"/>
  <c r="BO33" i="12"/>
  <c r="BO14" i="12"/>
  <c r="BM14" i="12"/>
  <c r="BM9" i="12"/>
  <c r="BO9" i="12"/>
  <c r="BO7" i="12"/>
  <c r="BM7" i="12"/>
  <c r="CZ99" i="12"/>
  <c r="CY99" i="12"/>
  <c r="CY137" i="12"/>
  <c r="DE137" i="12"/>
  <c r="CZ137" i="12"/>
  <c r="CJ88" i="12"/>
  <c r="CI88" i="12"/>
  <c r="CJ137" i="12"/>
  <c r="CI137" i="12"/>
  <c r="BR175" i="12"/>
  <c r="BY175" i="12"/>
  <c r="BS175" i="12"/>
  <c r="BT205" i="12"/>
  <c r="G23" i="23"/>
  <c r="I23" i="23" s="1"/>
  <c r="E12" i="15"/>
  <c r="CI119" i="12"/>
  <c r="CJ119" i="12"/>
  <c r="CO119" i="12"/>
  <c r="CF169" i="12"/>
  <c r="CD169" i="12"/>
  <c r="BR128" i="12"/>
  <c r="BS128" i="12"/>
  <c r="BY128" i="12"/>
  <c r="BM169" i="12"/>
  <c r="BS92" i="12"/>
  <c r="BM101" i="12"/>
  <c r="BM99" i="12"/>
  <c r="BY108" i="12"/>
  <c r="BS112" i="12"/>
  <c r="BR112" i="12"/>
  <c r="BR88" i="12"/>
  <c r="BS88" i="12"/>
  <c r="BS95" i="12"/>
  <c r="BR95" i="12"/>
  <c r="BY151" i="12"/>
  <c r="BS151" i="12"/>
  <c r="BM47" i="12"/>
  <c r="BO47" i="12"/>
  <c r="BO44" i="12"/>
  <c r="BM44" i="12"/>
  <c r="CJ54" i="12"/>
  <c r="BY127" i="12"/>
  <c r="BS71" i="12"/>
  <c r="BM126" i="12"/>
  <c r="CI160" i="12"/>
  <c r="CJ160" i="12"/>
  <c r="BY129" i="12"/>
  <c r="BS129" i="12"/>
  <c r="BR129" i="12"/>
  <c r="BO131" i="12"/>
  <c r="BR51" i="12"/>
  <c r="BS51" i="12"/>
  <c r="BS23" i="12"/>
  <c r="BR23" i="12"/>
  <c r="BM207" i="12"/>
  <c r="BY155" i="12"/>
  <c r="BS155" i="12"/>
  <c r="BR155" i="12"/>
  <c r="BM150" i="12"/>
  <c r="BO150" i="12"/>
  <c r="BO149" i="12"/>
  <c r="BM149" i="12"/>
  <c r="BO55" i="12"/>
  <c r="BM55" i="12"/>
  <c r="BO29" i="12"/>
  <c r="BM29" i="12"/>
  <c r="BO22" i="12"/>
  <c r="BM22" i="12"/>
  <c r="BM19" i="12"/>
  <c r="BO19" i="12"/>
  <c r="CD188" i="12"/>
  <c r="CD196" i="12" s="1"/>
  <c r="E11" i="13"/>
  <c r="E14" i="13" s="1"/>
  <c r="BY189" i="12"/>
  <c r="BY166" i="12"/>
  <c r="BR166" i="12"/>
  <c r="BS166" i="12"/>
  <c r="BS99" i="12"/>
  <c r="BR99" i="12"/>
  <c r="BO132" i="12"/>
  <c r="BM132" i="12"/>
  <c r="BQ17" i="12"/>
  <c r="BR17" i="12"/>
  <c r="AP200" i="12"/>
  <c r="AD203" i="12"/>
  <c r="AD205" i="12" s="1"/>
  <c r="BS154" i="12"/>
  <c r="BY154" i="12"/>
  <c r="BR154" i="12"/>
  <c r="BS147" i="12"/>
  <c r="BY147" i="12"/>
  <c r="BM146" i="12"/>
  <c r="BO146" i="12"/>
  <c r="BM142" i="12"/>
  <c r="BO142" i="12"/>
  <c r="BO46" i="12"/>
  <c r="BM46" i="12"/>
  <c r="BM35" i="12"/>
  <c r="BO35" i="12"/>
  <c r="BM15" i="12"/>
  <c r="BO15" i="12"/>
  <c r="BS54" i="12"/>
  <c r="BR54" i="12"/>
  <c r="BS169" i="12"/>
  <c r="BR169" i="12"/>
  <c r="BS101" i="12"/>
  <c r="BR101" i="12"/>
  <c r="BO134" i="12"/>
  <c r="BM134" i="12"/>
  <c r="BY170" i="12"/>
  <c r="BD205" i="12"/>
  <c r="D12" i="15"/>
  <c r="BO158" i="12"/>
  <c r="BM158" i="12"/>
  <c r="BY157" i="12"/>
  <c r="BR157" i="12"/>
  <c r="BM140" i="12"/>
  <c r="BO140" i="12"/>
  <c r="BM138" i="12"/>
  <c r="BO138" i="12"/>
  <c r="BR136" i="12"/>
  <c r="BY136" i="12"/>
  <c r="BM133" i="12"/>
  <c r="BO133" i="12"/>
  <c r="BM130" i="12"/>
  <c r="BO130" i="12"/>
  <c r="BY117" i="12"/>
  <c r="BS117" i="12"/>
  <c r="BR116" i="12"/>
  <c r="BS116" i="12"/>
  <c r="BO110" i="12"/>
  <c r="BM110" i="12"/>
  <c r="BM100" i="12"/>
  <c r="BO100" i="12"/>
  <c r="BO98" i="12"/>
  <c r="BM98" i="12"/>
  <c r="BO97" i="12"/>
  <c r="BM97" i="12"/>
  <c r="BO96" i="12"/>
  <c r="BM96" i="12"/>
  <c r="BS91" i="12"/>
  <c r="BY91" i="12"/>
  <c r="BO89" i="12"/>
  <c r="BM89" i="12"/>
  <c r="BS87" i="12"/>
  <c r="BY87" i="12"/>
  <c r="BM50" i="12"/>
  <c r="BO50" i="12"/>
  <c r="BM21" i="12"/>
  <c r="BO21" i="12"/>
  <c r="BM164" i="12"/>
  <c r="BM155" i="12"/>
  <c r="BM151" i="12"/>
  <c r="D25" i="23"/>
  <c r="M49" i="23"/>
  <c r="E21" i="26"/>
  <c r="I34" i="26"/>
  <c r="C21" i="26"/>
  <c r="C35" i="26" s="1"/>
  <c r="C46" i="26" s="1"/>
  <c r="C47" i="26" s="1"/>
  <c r="F34" i="26"/>
  <c r="I21" i="26"/>
  <c r="G21" i="26"/>
  <c r="I45" i="26"/>
  <c r="F21" i="26"/>
  <c r="F45" i="26"/>
  <c r="D34" i="26"/>
  <c r="D35" i="26" s="1"/>
  <c r="H35" i="26"/>
  <c r="I30" i="26"/>
  <c r="O49" i="23"/>
  <c r="S47" i="23"/>
  <c r="Q47" i="23"/>
  <c r="CT145" i="12"/>
  <c r="CV145" i="12"/>
  <c r="DU144" i="12"/>
  <c r="DZ144" i="12" s="1"/>
  <c r="BY143" i="12"/>
  <c r="BH205" i="12"/>
  <c r="BH208" i="12" s="1"/>
  <c r="D17" i="13"/>
  <c r="D19" i="13" s="1"/>
  <c r="CD197" i="12"/>
  <c r="BM208" i="12"/>
  <c r="D10" i="15"/>
  <c r="D14" i="15" s="1"/>
  <c r="D18" i="15" s="1"/>
  <c r="C20" i="23"/>
  <c r="BB205" i="12"/>
  <c r="D11" i="15"/>
  <c r="BC205" i="12"/>
  <c r="C21" i="23"/>
  <c r="E21" i="23" s="1"/>
  <c r="D22" i="13"/>
  <c r="CF143" i="12"/>
  <c r="CD143" i="12"/>
  <c r="E59" i="23"/>
  <c r="E61" i="23" s="1"/>
  <c r="E72" i="23"/>
  <c r="E68" i="23"/>
  <c r="D70" i="23"/>
  <c r="CO68" i="12" l="1"/>
  <c r="CF49" i="12"/>
  <c r="CI49" i="12" s="1"/>
  <c r="CF58" i="12"/>
  <c r="CD61" i="12"/>
  <c r="BQ39" i="12"/>
  <c r="BS39" i="12"/>
  <c r="CD125" i="12"/>
  <c r="BY122" i="12"/>
  <c r="CF39" i="12"/>
  <c r="CJ49" i="12"/>
  <c r="CO49" i="12"/>
  <c r="CJ79" i="12"/>
  <c r="CI79" i="12"/>
  <c r="CJ61" i="12"/>
  <c r="CI61" i="12"/>
  <c r="CT74" i="12"/>
  <c r="CO124" i="12"/>
  <c r="CI124" i="12"/>
  <c r="CJ124" i="12"/>
  <c r="CO81" i="12"/>
  <c r="CI81" i="12"/>
  <c r="CF20" i="12"/>
  <c r="CO20" i="12" s="1"/>
  <c r="CT20" i="12" s="1"/>
  <c r="CD72" i="12"/>
  <c r="CF72" i="12"/>
  <c r="CJ135" i="12"/>
  <c r="CO135" i="12"/>
  <c r="CF34" i="12"/>
  <c r="BS59" i="12"/>
  <c r="BQ59" i="12"/>
  <c r="BY59" i="12"/>
  <c r="BR59" i="12"/>
  <c r="CO107" i="12"/>
  <c r="CT107" i="12" s="1"/>
  <c r="CI107" i="12"/>
  <c r="CH107" i="12"/>
  <c r="CJ20" i="12"/>
  <c r="CI20" i="12"/>
  <c r="CD57" i="12"/>
  <c r="BY17" i="12"/>
  <c r="BY183" i="12"/>
  <c r="CH18" i="12"/>
  <c r="CJ173" i="12"/>
  <c r="CO173" i="12"/>
  <c r="CI173" i="12"/>
  <c r="BY165" i="12"/>
  <c r="BS78" i="12"/>
  <c r="BR78" i="12"/>
  <c r="BY78" i="12"/>
  <c r="CJ90" i="12"/>
  <c r="CI90" i="12"/>
  <c r="CO90" i="12"/>
  <c r="CV113" i="12"/>
  <c r="CT113" i="12"/>
  <c r="BS170" i="12"/>
  <c r="BR108" i="12"/>
  <c r="BR120" i="12"/>
  <c r="BY120" i="12"/>
  <c r="CZ74" i="12"/>
  <c r="DE74" i="12"/>
  <c r="CY74" i="12"/>
  <c r="BQ37" i="12"/>
  <c r="BR37" i="12"/>
  <c r="CT162" i="12"/>
  <c r="CV162" i="12"/>
  <c r="BR139" i="12"/>
  <c r="BY139" i="12"/>
  <c r="BR167" i="12"/>
  <c r="BS167" i="12"/>
  <c r="BY167" i="12"/>
  <c r="CI18" i="12"/>
  <c r="CO18" i="12"/>
  <c r="CT18" i="12" s="1"/>
  <c r="BS57" i="12"/>
  <c r="BQ57" i="12"/>
  <c r="CF57" i="12" s="1"/>
  <c r="BR57" i="12"/>
  <c r="CD37" i="12"/>
  <c r="CF37" i="12"/>
  <c r="BS80" i="12"/>
  <c r="BR80" i="12"/>
  <c r="CJ51" i="12"/>
  <c r="CI51" i="12"/>
  <c r="CO51" i="12"/>
  <c r="CJ103" i="12"/>
  <c r="CO103" i="12"/>
  <c r="CV64" i="12"/>
  <c r="CT64" i="12"/>
  <c r="CJ60" i="12"/>
  <c r="CI60" i="12"/>
  <c r="CH60" i="12"/>
  <c r="CO60" i="12"/>
  <c r="BS161" i="12"/>
  <c r="BR161" i="12"/>
  <c r="CD13" i="12"/>
  <c r="CF13" i="12"/>
  <c r="BS36" i="12"/>
  <c r="BR36" i="12"/>
  <c r="BQ36" i="12"/>
  <c r="BY36" i="12"/>
  <c r="CI54" i="12"/>
  <c r="CO54" i="12"/>
  <c r="CI95" i="12"/>
  <c r="CO95" i="12"/>
  <c r="CD25" i="12"/>
  <c r="CF25" i="12"/>
  <c r="CJ70" i="12"/>
  <c r="CO70" i="12"/>
  <c r="CT176" i="12"/>
  <c r="CV176" i="12"/>
  <c r="CV68" i="12"/>
  <c r="CT68" i="12"/>
  <c r="CH61" i="12"/>
  <c r="CO61" i="12"/>
  <c r="CJ92" i="12"/>
  <c r="CI92" i="12"/>
  <c r="CO92" i="12"/>
  <c r="CO42" i="12"/>
  <c r="CT42" i="12" s="1"/>
  <c r="CJ42" i="12"/>
  <c r="CJ107" i="12"/>
  <c r="BR182" i="12"/>
  <c r="BY182" i="12"/>
  <c r="CI31" i="12"/>
  <c r="CO31" i="12"/>
  <c r="CT31" i="12" s="1"/>
  <c r="CJ31" i="12"/>
  <c r="CD83" i="12"/>
  <c r="CF83" i="12"/>
  <c r="BS109" i="12"/>
  <c r="BY109" i="12"/>
  <c r="CT172" i="12"/>
  <c r="CV172" i="12"/>
  <c r="DL160" i="12"/>
  <c r="DJ160" i="12"/>
  <c r="BY171" i="12"/>
  <c r="BR171" i="12"/>
  <c r="BR163" i="12"/>
  <c r="BY163" i="12"/>
  <c r="BS163" i="12"/>
  <c r="BR82" i="12"/>
  <c r="BS82" i="12"/>
  <c r="BY82" i="12"/>
  <c r="BS174" i="12"/>
  <c r="BY174" i="12"/>
  <c r="BR174" i="12"/>
  <c r="CH32" i="12"/>
  <c r="CJ32" i="12"/>
  <c r="CI32" i="12"/>
  <c r="CO32" i="12"/>
  <c r="CJ69" i="12"/>
  <c r="CI69" i="12"/>
  <c r="CO69" i="12"/>
  <c r="CD76" i="12"/>
  <c r="CF76" i="12"/>
  <c r="I46" i="26"/>
  <c r="CF164" i="12"/>
  <c r="CD164" i="12"/>
  <c r="CI66" i="12"/>
  <c r="CJ66" i="12"/>
  <c r="CO66" i="12"/>
  <c r="CJ10" i="12"/>
  <c r="CH10" i="12"/>
  <c r="CI10" i="12"/>
  <c r="CO10" i="12"/>
  <c r="BS40" i="12"/>
  <c r="BY40" i="12"/>
  <c r="BR40" i="12"/>
  <c r="CZ23" i="12"/>
  <c r="CY23" i="12"/>
  <c r="DE23" i="12"/>
  <c r="CD63" i="12"/>
  <c r="CF63" i="12"/>
  <c r="CI125" i="12"/>
  <c r="CJ125" i="12"/>
  <c r="CO125" i="12"/>
  <c r="CF85" i="12"/>
  <c r="CD85" i="12"/>
  <c r="CD11" i="12"/>
  <c r="CF11" i="12"/>
  <c r="BR27" i="12"/>
  <c r="BQ27" i="12"/>
  <c r="BY27" i="12"/>
  <c r="DJ99" i="12"/>
  <c r="DL99" i="12"/>
  <c r="CI34" i="12"/>
  <c r="CH34" i="12"/>
  <c r="CJ34" i="12"/>
  <c r="CO34" i="12"/>
  <c r="CF161" i="12"/>
  <c r="CD161" i="12"/>
  <c r="CV111" i="12"/>
  <c r="CT111" i="12"/>
  <c r="CJ101" i="12"/>
  <c r="CO101" i="12"/>
  <c r="CI101" i="12"/>
  <c r="CJ177" i="12"/>
  <c r="CI177" i="12"/>
  <c r="CO177" i="12"/>
  <c r="CJ73" i="12"/>
  <c r="CO73" i="12"/>
  <c r="CI73" i="12"/>
  <c r="CZ106" i="12"/>
  <c r="CY106" i="12"/>
  <c r="DE106" i="12"/>
  <c r="DJ106" i="12" s="1"/>
  <c r="CF45" i="12"/>
  <c r="CD45" i="12"/>
  <c r="CT94" i="12"/>
  <c r="CV94" i="12"/>
  <c r="CJ77" i="12"/>
  <c r="CI77" i="12"/>
  <c r="CO77" i="12"/>
  <c r="CT67" i="12"/>
  <c r="CV67" i="12"/>
  <c r="CJ116" i="12"/>
  <c r="CI116" i="12"/>
  <c r="CO116" i="12"/>
  <c r="CF80" i="12"/>
  <c r="CD80" i="12"/>
  <c r="CJ104" i="12"/>
  <c r="CI104" i="12"/>
  <c r="CO104" i="12"/>
  <c r="CZ62" i="12"/>
  <c r="CY62" i="12"/>
  <c r="CX62" i="12"/>
  <c r="DE62" i="12"/>
  <c r="DE38" i="12"/>
  <c r="CX38" i="12"/>
  <c r="CY38" i="12"/>
  <c r="CZ38" i="12"/>
  <c r="CY121" i="12"/>
  <c r="CZ121" i="12"/>
  <c r="DE121" i="12"/>
  <c r="DL88" i="12"/>
  <c r="DJ88" i="12"/>
  <c r="BQ26" i="12"/>
  <c r="BY26" i="12"/>
  <c r="BR26" i="12"/>
  <c r="BS26" i="12"/>
  <c r="CI75" i="12"/>
  <c r="CJ75" i="12"/>
  <c r="CO75" i="12"/>
  <c r="CI39" i="12"/>
  <c r="CH39" i="12"/>
  <c r="CJ39" i="12"/>
  <c r="CO39" i="12"/>
  <c r="DJ93" i="12"/>
  <c r="DL93" i="12"/>
  <c r="CD114" i="12"/>
  <c r="CF114" i="12"/>
  <c r="CI123" i="12"/>
  <c r="CJ123" i="12"/>
  <c r="CO123" i="12"/>
  <c r="CJ112" i="12"/>
  <c r="CI112" i="12"/>
  <c r="CO112" i="12"/>
  <c r="CF43" i="12"/>
  <c r="CD43" i="12"/>
  <c r="BS184" i="12"/>
  <c r="BR184" i="12"/>
  <c r="BY184" i="12"/>
  <c r="BS30" i="12"/>
  <c r="BQ30" i="12"/>
  <c r="BR30" i="12"/>
  <c r="BY30" i="12"/>
  <c r="CD105" i="12"/>
  <c r="CF105" i="12"/>
  <c r="CV159" i="12"/>
  <c r="CT159" i="12"/>
  <c r="CF165" i="12"/>
  <c r="CD165" i="12"/>
  <c r="CT102" i="12"/>
  <c r="CV102" i="12"/>
  <c r="G35" i="26"/>
  <c r="G46" i="26"/>
  <c r="G8" i="23"/>
  <c r="I8" i="23" s="1"/>
  <c r="C34" i="23"/>
  <c r="E36" i="23" s="1"/>
  <c r="C15" i="23"/>
  <c r="E10" i="23"/>
  <c r="E15" i="23" s="1"/>
  <c r="CV141" i="12"/>
  <c r="CT141" i="12"/>
  <c r="CO156" i="12"/>
  <c r="CI156" i="12"/>
  <c r="CJ156" i="12"/>
  <c r="CI28" i="12"/>
  <c r="CJ28" i="12"/>
  <c r="CO28" i="12"/>
  <c r="CH28" i="12"/>
  <c r="CF120" i="12"/>
  <c r="CD120" i="12"/>
  <c r="CJ16" i="12"/>
  <c r="CH16" i="12"/>
  <c r="CO16" i="12"/>
  <c r="CI16" i="12"/>
  <c r="CZ71" i="12"/>
  <c r="CY71" i="12"/>
  <c r="DE71" i="12"/>
  <c r="CI84" i="12"/>
  <c r="CJ84" i="12"/>
  <c r="CO84" i="12"/>
  <c r="CJ115" i="12"/>
  <c r="CO115" i="12"/>
  <c r="CI115" i="12"/>
  <c r="CD183" i="12"/>
  <c r="CF183" i="12"/>
  <c r="CZ126" i="12"/>
  <c r="DE126" i="12"/>
  <c r="CY126" i="12"/>
  <c r="BR152" i="12"/>
  <c r="BY152" i="12"/>
  <c r="BS152" i="12"/>
  <c r="BS24" i="12"/>
  <c r="BY24" i="12"/>
  <c r="BR24" i="12"/>
  <c r="CT118" i="12"/>
  <c r="CV118" i="12"/>
  <c r="BY9" i="12"/>
  <c r="BR9" i="12"/>
  <c r="BS9" i="12"/>
  <c r="BS33" i="12"/>
  <c r="BR33" i="12"/>
  <c r="BQ33" i="12"/>
  <c r="BY33" i="12"/>
  <c r="DL86" i="12"/>
  <c r="DJ86" i="12"/>
  <c r="BY52" i="12"/>
  <c r="BS52" i="12"/>
  <c r="BR52" i="12"/>
  <c r="BS153" i="12"/>
  <c r="BR153" i="12"/>
  <c r="BY153" i="12"/>
  <c r="BS6" i="12"/>
  <c r="BS179" i="12" s="1"/>
  <c r="BS186" i="12" s="1"/>
  <c r="BQ6" i="12"/>
  <c r="BQ179" i="12" s="1"/>
  <c r="BQ186" i="12" s="1"/>
  <c r="BR6" i="12"/>
  <c r="BR179" i="12" s="1"/>
  <c r="BR186" i="12" s="1"/>
  <c r="BY6" i="12"/>
  <c r="BO179" i="12"/>
  <c r="BO186" i="12" s="1"/>
  <c r="BQ12" i="12"/>
  <c r="BR12" i="12"/>
  <c r="BY12" i="12"/>
  <c r="BS12" i="12"/>
  <c r="BY48" i="12"/>
  <c r="BS48" i="12"/>
  <c r="BR48" i="12"/>
  <c r="CF168" i="12"/>
  <c r="CD168" i="12"/>
  <c r="CF181" i="12"/>
  <c r="CD181" i="12"/>
  <c r="DJ65" i="12"/>
  <c r="DL65" i="12"/>
  <c r="BS7" i="12"/>
  <c r="BR7" i="12"/>
  <c r="BY7" i="12"/>
  <c r="BR14" i="12"/>
  <c r="BS14" i="12"/>
  <c r="BQ14" i="12"/>
  <c r="BY14" i="12"/>
  <c r="BR53" i="12"/>
  <c r="BS53" i="12"/>
  <c r="BY53" i="12"/>
  <c r="CF41" i="12"/>
  <c r="CD41" i="12"/>
  <c r="BS8" i="12"/>
  <c r="BR8" i="12"/>
  <c r="BY8" i="12"/>
  <c r="BR148" i="12"/>
  <c r="BS148" i="12"/>
  <c r="BY148" i="12"/>
  <c r="BR97" i="12"/>
  <c r="BS97" i="12"/>
  <c r="BY97" i="12"/>
  <c r="BS158" i="12"/>
  <c r="BR158" i="12"/>
  <c r="BY158" i="12"/>
  <c r="BS134" i="12"/>
  <c r="BR134" i="12"/>
  <c r="BY134" i="12"/>
  <c r="BR46" i="12"/>
  <c r="BQ46" i="12"/>
  <c r="BS46" i="12"/>
  <c r="BY46" i="12"/>
  <c r="CF154" i="12"/>
  <c r="CD154" i="12"/>
  <c r="CD17" i="12"/>
  <c r="CF17" i="12"/>
  <c r="CO188" i="12"/>
  <c r="BZ142" i="12"/>
  <c r="G9" i="23"/>
  <c r="CD189" i="12"/>
  <c r="E12" i="13"/>
  <c r="BQ19" i="12"/>
  <c r="BS19" i="12"/>
  <c r="BR19" i="12"/>
  <c r="BY19" i="12"/>
  <c r="CF129" i="12"/>
  <c r="CD129" i="12"/>
  <c r="CF108" i="12"/>
  <c r="CD108" i="12"/>
  <c r="BS50" i="12"/>
  <c r="BR50" i="12"/>
  <c r="BY50" i="12"/>
  <c r="BR133" i="12"/>
  <c r="BY133" i="12"/>
  <c r="BS133" i="12"/>
  <c r="BY138" i="12"/>
  <c r="BR138" i="12"/>
  <c r="BS138" i="12"/>
  <c r="CF170" i="12"/>
  <c r="CD170" i="12"/>
  <c r="BS35" i="12"/>
  <c r="BR35" i="12"/>
  <c r="BQ35" i="12"/>
  <c r="BY35" i="12"/>
  <c r="BR142" i="12"/>
  <c r="BY142" i="12"/>
  <c r="BS142" i="12"/>
  <c r="CF147" i="12"/>
  <c r="CD147" i="12"/>
  <c r="BS132" i="12"/>
  <c r="BR132" i="12"/>
  <c r="BY132" i="12"/>
  <c r="BQ29" i="12"/>
  <c r="BR29" i="12"/>
  <c r="BY29" i="12"/>
  <c r="BS29" i="12"/>
  <c r="BS149" i="12"/>
  <c r="BR149" i="12"/>
  <c r="BY149" i="12"/>
  <c r="BY131" i="12"/>
  <c r="BR131" i="12"/>
  <c r="BS131" i="12"/>
  <c r="CF127" i="12"/>
  <c r="CD127" i="12"/>
  <c r="BR44" i="12"/>
  <c r="BS44" i="12"/>
  <c r="BQ44" i="12"/>
  <c r="BY44" i="12"/>
  <c r="CF151" i="12"/>
  <c r="CD151" i="12"/>
  <c r="CV119" i="12"/>
  <c r="CT119" i="12"/>
  <c r="DJ137" i="12"/>
  <c r="DL137" i="12"/>
  <c r="BR89" i="12"/>
  <c r="BY89" i="12"/>
  <c r="BS89" i="12"/>
  <c r="BR96" i="12"/>
  <c r="BY96" i="12"/>
  <c r="BS96" i="12"/>
  <c r="BY98" i="12"/>
  <c r="BR98" i="12"/>
  <c r="BS98" i="12"/>
  <c r="BS110" i="12"/>
  <c r="BY110" i="12"/>
  <c r="BR110" i="12"/>
  <c r="CD117" i="12"/>
  <c r="CF117" i="12"/>
  <c r="CD157" i="12"/>
  <c r="CF157" i="12"/>
  <c r="CF166" i="12"/>
  <c r="CD166" i="12"/>
  <c r="BY207" i="12"/>
  <c r="BS150" i="12"/>
  <c r="BY150" i="12"/>
  <c r="BR150" i="12"/>
  <c r="CF155" i="12"/>
  <c r="CD155" i="12"/>
  <c r="BR47" i="12"/>
  <c r="BY47" i="12"/>
  <c r="BS47" i="12"/>
  <c r="CF128" i="12"/>
  <c r="CD128" i="12"/>
  <c r="CI169" i="12"/>
  <c r="CJ169" i="12"/>
  <c r="CO169" i="12"/>
  <c r="CD175" i="12"/>
  <c r="CF175" i="12"/>
  <c r="E25" i="23"/>
  <c r="D27" i="23"/>
  <c r="D30" i="23" s="1"/>
  <c r="BQ21" i="12"/>
  <c r="BY21" i="12"/>
  <c r="BR21" i="12"/>
  <c r="BS21" i="12"/>
  <c r="CD87" i="12"/>
  <c r="CF87" i="12"/>
  <c r="CD91" i="12"/>
  <c r="CF91" i="12"/>
  <c r="BR100" i="12"/>
  <c r="BS100" i="12"/>
  <c r="BY100" i="12"/>
  <c r="BR130" i="12"/>
  <c r="BS130" i="12"/>
  <c r="BY130" i="12"/>
  <c r="CF136" i="12"/>
  <c r="CD136" i="12"/>
  <c r="BR140" i="12"/>
  <c r="BY140" i="12"/>
  <c r="BS140" i="12"/>
  <c r="BQ15" i="12"/>
  <c r="BS15" i="12"/>
  <c r="BY15" i="12"/>
  <c r="BR15" i="12"/>
  <c r="BS146" i="12"/>
  <c r="BR146" i="12"/>
  <c r="BY146" i="12"/>
  <c r="AP203" i="12"/>
  <c r="AP205" i="12" s="1"/>
  <c r="AP208" i="12" s="1"/>
  <c r="AW200" i="12"/>
  <c r="AW203" i="12" s="1"/>
  <c r="AW205" i="12" s="1"/>
  <c r="BM197" i="12" s="1"/>
  <c r="BR22" i="12"/>
  <c r="BY22" i="12"/>
  <c r="BS22" i="12"/>
  <c r="BR55" i="12"/>
  <c r="BY55" i="12"/>
  <c r="BS55" i="12"/>
  <c r="D46" i="26"/>
  <c r="I35" i="26"/>
  <c r="U47" i="23"/>
  <c r="S49" i="23"/>
  <c r="Q49" i="23"/>
  <c r="O54" i="23"/>
  <c r="O77" i="23" s="1"/>
  <c r="CZ145" i="12"/>
  <c r="CY145" i="12"/>
  <c r="CI143" i="12"/>
  <c r="CJ143" i="12"/>
  <c r="C27" i="23"/>
  <c r="E20" i="23"/>
  <c r="E27" i="23" s="1"/>
  <c r="E8" i="15"/>
  <c r="E14" i="15" s="1"/>
  <c r="E18" i="15" s="1"/>
  <c r="D22" i="15"/>
  <c r="D23" i="13"/>
  <c r="D24" i="13" s="1"/>
  <c r="D26" i="13" s="1"/>
  <c r="J22" i="13"/>
  <c r="D41" i="13"/>
  <c r="CD198" i="12"/>
  <c r="CD203" i="12" s="1"/>
  <c r="E62" i="23"/>
  <c r="D73" i="23"/>
  <c r="D74" i="23"/>
  <c r="CH20" i="12" l="1"/>
  <c r="CH58" i="12"/>
  <c r="CJ58" i="12"/>
  <c r="CI58" i="12"/>
  <c r="CO58" i="12"/>
  <c r="CV20" i="12"/>
  <c r="CD122" i="12"/>
  <c r="CF122" i="12"/>
  <c r="CO79" i="12"/>
  <c r="CT79" i="12" s="1"/>
  <c r="CV18" i="12"/>
  <c r="CV49" i="12"/>
  <c r="CT49" i="12"/>
  <c r="CV79" i="12"/>
  <c r="CX18" i="12"/>
  <c r="CV107" i="12"/>
  <c r="CD59" i="12"/>
  <c r="CF59" i="12"/>
  <c r="CV135" i="12"/>
  <c r="CT135" i="12"/>
  <c r="CV124" i="12"/>
  <c r="CT124" i="12"/>
  <c r="CV31" i="12"/>
  <c r="CI72" i="12"/>
  <c r="CJ72" i="12"/>
  <c r="CO72" i="12"/>
  <c r="CT81" i="12"/>
  <c r="CV81" i="12"/>
  <c r="CJ57" i="12"/>
  <c r="CI57" i="12"/>
  <c r="CH57" i="12"/>
  <c r="CO57" i="12"/>
  <c r="DL106" i="12"/>
  <c r="CY18" i="12"/>
  <c r="DJ74" i="12"/>
  <c r="DL74" i="12"/>
  <c r="CZ113" i="12"/>
  <c r="CY113" i="12"/>
  <c r="DE113" i="12"/>
  <c r="CF78" i="12"/>
  <c r="CD78" i="12"/>
  <c r="CF139" i="12"/>
  <c r="CD139" i="12"/>
  <c r="CV90" i="12"/>
  <c r="CT90" i="12"/>
  <c r="CV173" i="12"/>
  <c r="CT173" i="12"/>
  <c r="CF167" i="12"/>
  <c r="CD167" i="12"/>
  <c r="DE162" i="12"/>
  <c r="CZ162" i="12"/>
  <c r="CY162" i="12"/>
  <c r="CT92" i="12"/>
  <c r="CV92" i="12"/>
  <c r="CZ68" i="12"/>
  <c r="DE68" i="12"/>
  <c r="CY68" i="12"/>
  <c r="CV60" i="12"/>
  <c r="CT60" i="12"/>
  <c r="CT51" i="12"/>
  <c r="CV51" i="12"/>
  <c r="DP160" i="12"/>
  <c r="DO160" i="12"/>
  <c r="DU160" i="12"/>
  <c r="DZ160" i="12" s="1"/>
  <c r="CT61" i="12"/>
  <c r="CV61" i="12"/>
  <c r="CZ176" i="12"/>
  <c r="DE176" i="12"/>
  <c r="CY176" i="12"/>
  <c r="CJ25" i="12"/>
  <c r="CO25" i="12"/>
  <c r="CI25" i="12"/>
  <c r="CD36" i="12"/>
  <c r="CF36" i="12"/>
  <c r="CH13" i="12"/>
  <c r="CJ13" i="12"/>
  <c r="CO13" i="12"/>
  <c r="CI13" i="12"/>
  <c r="CY64" i="12"/>
  <c r="CZ64" i="12"/>
  <c r="DE64" i="12"/>
  <c r="CO37" i="12"/>
  <c r="CT37" i="12" s="1"/>
  <c r="CH37" i="12"/>
  <c r="CJ37" i="12"/>
  <c r="CI37" i="12"/>
  <c r="CZ172" i="12"/>
  <c r="CY172" i="12"/>
  <c r="DE172" i="12"/>
  <c r="CF109" i="12"/>
  <c r="CD109" i="12"/>
  <c r="CT103" i="12"/>
  <c r="CV103" i="12"/>
  <c r="CJ83" i="12"/>
  <c r="CI83" i="12"/>
  <c r="CO83" i="12"/>
  <c r="CD182" i="12"/>
  <c r="CF182" i="12"/>
  <c r="CV70" i="12"/>
  <c r="CT70" i="12"/>
  <c r="CV95" i="12"/>
  <c r="CT95" i="12"/>
  <c r="CT54" i="12"/>
  <c r="CV54" i="12"/>
  <c r="CV42" i="12"/>
  <c r="CJ164" i="12"/>
  <c r="CO164" i="12"/>
  <c r="CI164" i="12"/>
  <c r="CI76" i="12"/>
  <c r="CO76" i="12"/>
  <c r="CJ76" i="12"/>
  <c r="CD82" i="12"/>
  <c r="CF82" i="12"/>
  <c r="CF163" i="12"/>
  <c r="CD163" i="12"/>
  <c r="CF27" i="12"/>
  <c r="CD27" i="12"/>
  <c r="CO85" i="12"/>
  <c r="CJ85" i="12"/>
  <c r="CI85" i="12"/>
  <c r="CJ63" i="12"/>
  <c r="CI63" i="12"/>
  <c r="CO63" i="12"/>
  <c r="CT10" i="12"/>
  <c r="CV10" i="12"/>
  <c r="CV66" i="12"/>
  <c r="CT66" i="12"/>
  <c r="CT32" i="12"/>
  <c r="CV32" i="12"/>
  <c r="CI11" i="12"/>
  <c r="CJ11" i="12"/>
  <c r="CH11" i="12"/>
  <c r="CO11" i="12"/>
  <c r="CT125" i="12"/>
  <c r="CV125" i="12"/>
  <c r="CV69" i="12"/>
  <c r="CT69" i="12"/>
  <c r="CV57" i="12"/>
  <c r="CT57" i="12"/>
  <c r="CF174" i="12"/>
  <c r="CD174" i="12"/>
  <c r="CT34" i="12"/>
  <c r="CV34" i="12"/>
  <c r="DP99" i="12"/>
  <c r="DO99" i="12"/>
  <c r="DU99" i="12"/>
  <c r="DZ99" i="12" s="1"/>
  <c r="DJ23" i="12"/>
  <c r="DL23" i="12"/>
  <c r="CF40" i="12"/>
  <c r="CD40" i="12"/>
  <c r="CD171" i="12"/>
  <c r="CF171" i="12"/>
  <c r="CV156" i="12"/>
  <c r="CT156" i="12"/>
  <c r="CI165" i="12"/>
  <c r="CO165" i="12"/>
  <c r="CJ165" i="12"/>
  <c r="CI114" i="12"/>
  <c r="CO114" i="12"/>
  <c r="CJ114" i="12"/>
  <c r="CT39" i="12"/>
  <c r="CV39" i="12"/>
  <c r="CV75" i="12"/>
  <c r="CT75" i="12"/>
  <c r="CF26" i="12"/>
  <c r="CD26" i="12"/>
  <c r="DJ121" i="12"/>
  <c r="DL121" i="12"/>
  <c r="CV116" i="12"/>
  <c r="CT116" i="12"/>
  <c r="CH45" i="12"/>
  <c r="CI45" i="12"/>
  <c r="CJ45" i="12"/>
  <c r="CO45" i="12"/>
  <c r="DJ126" i="12"/>
  <c r="DL126" i="12"/>
  <c r="CT115" i="12"/>
  <c r="CV115" i="12"/>
  <c r="DJ71" i="12"/>
  <c r="DL71" i="12"/>
  <c r="CT16" i="12"/>
  <c r="CV16" i="12"/>
  <c r="CJ120" i="12"/>
  <c r="CI120" i="12"/>
  <c r="CO120" i="12"/>
  <c r="CY102" i="12"/>
  <c r="CZ102" i="12"/>
  <c r="DE102" i="12"/>
  <c r="CD30" i="12"/>
  <c r="CF30" i="12"/>
  <c r="CF184" i="12"/>
  <c r="CD184" i="12"/>
  <c r="CJ43" i="12"/>
  <c r="CO43" i="12"/>
  <c r="CI43" i="12"/>
  <c r="CH43" i="12"/>
  <c r="CV123" i="12"/>
  <c r="CT123" i="12"/>
  <c r="CZ94" i="12"/>
  <c r="CY94" i="12"/>
  <c r="DE94" i="12"/>
  <c r="CT73" i="12"/>
  <c r="CV73" i="12"/>
  <c r="CY111" i="12"/>
  <c r="DE111" i="12"/>
  <c r="CZ111" i="12"/>
  <c r="CV84" i="12"/>
  <c r="CT84" i="12"/>
  <c r="DE141" i="12"/>
  <c r="CZ141" i="12"/>
  <c r="CY141" i="12"/>
  <c r="CZ159" i="12"/>
  <c r="CY159" i="12"/>
  <c r="DE159" i="12"/>
  <c r="CT112" i="12"/>
  <c r="CV112" i="12"/>
  <c r="DJ38" i="12"/>
  <c r="DL38" i="12"/>
  <c r="CV77" i="12"/>
  <c r="CT77" i="12"/>
  <c r="CV177" i="12"/>
  <c r="CT177" i="12"/>
  <c r="CV101" i="12"/>
  <c r="CT101" i="12"/>
  <c r="CJ183" i="12"/>
  <c r="CI183" i="12"/>
  <c r="CO183" i="12"/>
  <c r="CV28" i="12"/>
  <c r="CT28" i="12"/>
  <c r="CJ105" i="12"/>
  <c r="CH105" i="12"/>
  <c r="CI105" i="12"/>
  <c r="CO105" i="12"/>
  <c r="DO93" i="12"/>
  <c r="DP93" i="12"/>
  <c r="DU93" i="12"/>
  <c r="DZ93" i="12" s="1"/>
  <c r="DP88" i="12"/>
  <c r="DO88" i="12"/>
  <c r="DU88" i="12"/>
  <c r="DZ88" i="12" s="1"/>
  <c r="DJ62" i="12"/>
  <c r="DL62" i="12"/>
  <c r="CV104" i="12"/>
  <c r="CT104" i="12"/>
  <c r="CI80" i="12"/>
  <c r="CO80" i="12"/>
  <c r="CJ80" i="12"/>
  <c r="CY67" i="12"/>
  <c r="CZ67" i="12"/>
  <c r="DE67" i="12"/>
  <c r="CO161" i="12"/>
  <c r="CJ161" i="12"/>
  <c r="CI161" i="12"/>
  <c r="CD24" i="12"/>
  <c r="CF24" i="12"/>
  <c r="CF152" i="12"/>
  <c r="CD152" i="12"/>
  <c r="DE118" i="12"/>
  <c r="CZ118" i="12"/>
  <c r="CY118" i="12"/>
  <c r="CO41" i="12"/>
  <c r="CJ41" i="12"/>
  <c r="CI41" i="12"/>
  <c r="CF14" i="12"/>
  <c r="CD14" i="12"/>
  <c r="CF7" i="12"/>
  <c r="CD7" i="12"/>
  <c r="DP65" i="12"/>
  <c r="DO65" i="12"/>
  <c r="DU65" i="12"/>
  <c r="DZ65" i="12" s="1"/>
  <c r="CI168" i="12"/>
  <c r="CO168" i="12"/>
  <c r="CJ168" i="12"/>
  <c r="CF12" i="12"/>
  <c r="CD12" i="12"/>
  <c r="CD6" i="12"/>
  <c r="CD179" i="12" s="1"/>
  <c r="CD186" i="12" s="1"/>
  <c r="CD205" i="12" s="1"/>
  <c r="CF6" i="12"/>
  <c r="BY179" i="12"/>
  <c r="BY186" i="12" s="1"/>
  <c r="DU86" i="12"/>
  <c r="DZ86" i="12" s="1"/>
  <c r="DO86" i="12"/>
  <c r="DP86" i="12"/>
  <c r="CF9" i="12"/>
  <c r="CD9" i="12"/>
  <c r="CD8" i="12"/>
  <c r="CF8" i="12"/>
  <c r="CF53" i="12"/>
  <c r="CD53" i="12"/>
  <c r="E10" i="15"/>
  <c r="BR205" i="12"/>
  <c r="G20" i="23"/>
  <c r="I20" i="23" s="1"/>
  <c r="CJ181" i="12"/>
  <c r="CI181" i="12"/>
  <c r="CO181" i="12"/>
  <c r="BQ205" i="12"/>
  <c r="E9" i="15"/>
  <c r="G19" i="23"/>
  <c r="I19" i="23" s="1"/>
  <c r="CF153" i="12"/>
  <c r="CD153" i="12"/>
  <c r="CF33" i="12"/>
  <c r="CD33" i="12"/>
  <c r="CF148" i="12"/>
  <c r="CD148" i="12"/>
  <c r="CF48" i="12"/>
  <c r="CD48" i="12"/>
  <c r="G18" i="23"/>
  <c r="BO206" i="12"/>
  <c r="BO205" i="12"/>
  <c r="G21" i="23"/>
  <c r="I21" i="23" s="1"/>
  <c r="E22" i="13"/>
  <c r="BS205" i="12"/>
  <c r="E11" i="15"/>
  <c r="CF52" i="12"/>
  <c r="CD52" i="12"/>
  <c r="CF55" i="12"/>
  <c r="CD55" i="12"/>
  <c r="CJ175" i="12"/>
  <c r="CI175" i="12"/>
  <c r="CO175" i="12"/>
  <c r="CV169" i="12"/>
  <c r="CT169" i="12"/>
  <c r="CI128" i="12"/>
  <c r="CJ128" i="12"/>
  <c r="CO128" i="12"/>
  <c r="CJ155" i="12"/>
  <c r="CI155" i="12"/>
  <c r="CO155" i="12"/>
  <c r="CD207" i="12"/>
  <c r="CF110" i="12"/>
  <c r="CD110" i="12"/>
  <c r="CD98" i="12"/>
  <c r="CF98" i="12"/>
  <c r="CF131" i="12"/>
  <c r="CD131" i="12"/>
  <c r="CF132" i="12"/>
  <c r="CD132" i="12"/>
  <c r="CI147" i="12"/>
  <c r="CJ147" i="12"/>
  <c r="CO147" i="12"/>
  <c r="CF35" i="12"/>
  <c r="CD35" i="12"/>
  <c r="CF133" i="12"/>
  <c r="CD133" i="12"/>
  <c r="CI129" i="12"/>
  <c r="CJ129" i="12"/>
  <c r="CO129" i="12"/>
  <c r="CT188" i="12"/>
  <c r="CT196" i="12" s="1"/>
  <c r="CK163" i="12"/>
  <c r="CO189" i="12"/>
  <c r="CP142" i="12" s="1"/>
  <c r="F11" i="13"/>
  <c r="F14" i="13" s="1"/>
  <c r="CO196" i="12"/>
  <c r="CJ154" i="12"/>
  <c r="CI154" i="12"/>
  <c r="CO154" i="12"/>
  <c r="CD158" i="12"/>
  <c r="CF158" i="12"/>
  <c r="D14" i="23"/>
  <c r="CJ91" i="12"/>
  <c r="CI91" i="12"/>
  <c r="CO91" i="12"/>
  <c r="CI117" i="12"/>
  <c r="CO117" i="12"/>
  <c r="CJ117" i="12"/>
  <c r="CF89" i="12"/>
  <c r="CD89" i="12"/>
  <c r="CJ151" i="12"/>
  <c r="CI151" i="12"/>
  <c r="CO151" i="12"/>
  <c r="CO127" i="12"/>
  <c r="CJ127" i="12"/>
  <c r="CI127" i="12"/>
  <c r="CF149" i="12"/>
  <c r="CD149" i="12"/>
  <c r="CF29" i="12"/>
  <c r="CD29" i="12"/>
  <c r="I9" i="23"/>
  <c r="G10" i="23"/>
  <c r="K8" i="23"/>
  <c r="CI17" i="12"/>
  <c r="CJ17" i="12"/>
  <c r="CH17" i="12"/>
  <c r="CO17" i="12"/>
  <c r="CF46" i="12"/>
  <c r="CD46" i="12"/>
  <c r="CF134" i="12"/>
  <c r="CD134" i="12"/>
  <c r="CJ136" i="12"/>
  <c r="CI136" i="12"/>
  <c r="CO136" i="12"/>
  <c r="CF100" i="12"/>
  <c r="CD100" i="12"/>
  <c r="CF47" i="12"/>
  <c r="CD47" i="12"/>
  <c r="CF150" i="12"/>
  <c r="CD150" i="12"/>
  <c r="CI166" i="12"/>
  <c r="CJ166" i="12"/>
  <c r="CO166" i="12"/>
  <c r="CD96" i="12"/>
  <c r="CF96" i="12"/>
  <c r="CF44" i="12"/>
  <c r="CD44" i="12"/>
  <c r="CD142" i="12"/>
  <c r="CF142" i="12"/>
  <c r="CD138" i="12"/>
  <c r="CF138" i="12"/>
  <c r="CF50" i="12"/>
  <c r="CD50" i="12"/>
  <c r="CJ108" i="12"/>
  <c r="CI108" i="12"/>
  <c r="CO108" i="12"/>
  <c r="H25" i="23"/>
  <c r="BZ179" i="12"/>
  <c r="BZ186" i="12" s="1"/>
  <c r="F27" i="26"/>
  <c r="F30" i="26" s="1"/>
  <c r="F35" i="26" s="1"/>
  <c r="E30" i="26"/>
  <c r="E35" i="26" s="1"/>
  <c r="H47" i="26" s="1"/>
  <c r="CF22" i="12"/>
  <c r="CD22" i="12"/>
  <c r="CD146" i="12"/>
  <c r="CF146" i="12"/>
  <c r="CF15" i="12"/>
  <c r="CD15" i="12"/>
  <c r="CF140" i="12"/>
  <c r="CD140" i="12"/>
  <c r="CD130" i="12"/>
  <c r="CF130" i="12"/>
  <c r="CI87" i="12"/>
  <c r="CJ87" i="12"/>
  <c r="CO87" i="12"/>
  <c r="CF21" i="12"/>
  <c r="CD21" i="12"/>
  <c r="CJ157" i="12"/>
  <c r="CI157" i="12"/>
  <c r="CO157" i="12"/>
  <c r="DO137" i="12"/>
  <c r="DP137" i="12"/>
  <c r="DU137" i="12"/>
  <c r="DZ137" i="12" s="1"/>
  <c r="CY119" i="12"/>
  <c r="CZ119" i="12"/>
  <c r="DE119" i="12"/>
  <c r="CJ170" i="12"/>
  <c r="CI170" i="12"/>
  <c r="CO170" i="12"/>
  <c r="CF19" i="12"/>
  <c r="CD19" i="12"/>
  <c r="CD97" i="12"/>
  <c r="CF97" i="12"/>
  <c r="BM210" i="12"/>
  <c r="G47" i="26"/>
  <c r="I47" i="26" s="1"/>
  <c r="DE145" i="12"/>
  <c r="DL145" i="12" s="1"/>
  <c r="U49" i="23"/>
  <c r="S54" i="23"/>
  <c r="S77" i="23" s="1"/>
  <c r="DJ145" i="12"/>
  <c r="CO143" i="12"/>
  <c r="CV143" i="12" s="1"/>
  <c r="E30" i="23"/>
  <c r="E31" i="23"/>
  <c r="C30" i="23"/>
  <c r="C31" i="23"/>
  <c r="C35" i="23" s="1"/>
  <c r="V35" i="23" s="1"/>
  <c r="E22" i="15"/>
  <c r="F8" i="15"/>
  <c r="F14" i="15" s="1"/>
  <c r="F18" i="15" s="1"/>
  <c r="J23" i="13"/>
  <c r="J24" i="13" s="1"/>
  <c r="I57" i="23"/>
  <c r="C70" i="23"/>
  <c r="CT58" i="12" l="1"/>
  <c r="CV58" i="12"/>
  <c r="CO122" i="12"/>
  <c r="CI122" i="12"/>
  <c r="CJ122" i="12"/>
  <c r="CZ20" i="12"/>
  <c r="CX20" i="12"/>
  <c r="CY20" i="12"/>
  <c r="DE20" i="12"/>
  <c r="CY49" i="12"/>
  <c r="CZ49" i="12"/>
  <c r="DE49" i="12"/>
  <c r="DE18" i="12"/>
  <c r="CZ18" i="12"/>
  <c r="CY81" i="12"/>
  <c r="CZ81" i="12"/>
  <c r="DE81" i="12"/>
  <c r="DE107" i="12"/>
  <c r="CZ107" i="12"/>
  <c r="CY107" i="12"/>
  <c r="CX107" i="12"/>
  <c r="CY31" i="12"/>
  <c r="CZ31" i="12"/>
  <c r="CX31" i="12"/>
  <c r="DE135" i="12"/>
  <c r="CY135" i="12"/>
  <c r="CZ135" i="12"/>
  <c r="DE31" i="12"/>
  <c r="CV72" i="12"/>
  <c r="CT72" i="12"/>
  <c r="CJ59" i="12"/>
  <c r="CO59" i="12"/>
  <c r="CI59" i="12"/>
  <c r="CH59" i="12"/>
  <c r="CY124" i="12"/>
  <c r="CZ124" i="12"/>
  <c r="DE124" i="12"/>
  <c r="CY79" i="12"/>
  <c r="CZ79" i="12"/>
  <c r="DL113" i="12"/>
  <c r="DJ113" i="12"/>
  <c r="DL162" i="12"/>
  <c r="DJ162" i="12"/>
  <c r="CY173" i="12"/>
  <c r="CZ173" i="12"/>
  <c r="DE173" i="12"/>
  <c r="CJ139" i="12"/>
  <c r="CO139" i="12"/>
  <c r="CI139" i="12"/>
  <c r="CV37" i="12"/>
  <c r="CY37" i="12" s="1"/>
  <c r="CJ167" i="12"/>
  <c r="CI167" i="12"/>
  <c r="CO167" i="12"/>
  <c r="DE90" i="12"/>
  <c r="CY90" i="12"/>
  <c r="CZ90" i="12"/>
  <c r="CI78" i="12"/>
  <c r="CJ78" i="12"/>
  <c r="CO78" i="12"/>
  <c r="DU74" i="12"/>
  <c r="DZ74" i="12" s="1"/>
  <c r="DP74" i="12"/>
  <c r="DO74" i="12"/>
  <c r="DN106" i="12"/>
  <c r="DU106" i="12"/>
  <c r="DZ106" i="12" s="1"/>
  <c r="DP106" i="12"/>
  <c r="DO106" i="12"/>
  <c r="CZ103" i="12"/>
  <c r="DE103" i="12"/>
  <c r="CY103" i="12"/>
  <c r="DJ172" i="12"/>
  <c r="DL172" i="12"/>
  <c r="CI36" i="12"/>
  <c r="CH36" i="12"/>
  <c r="CJ36" i="12"/>
  <c r="CO36" i="12"/>
  <c r="DE51" i="12"/>
  <c r="CY51" i="12"/>
  <c r="CZ51" i="12"/>
  <c r="DE42" i="12"/>
  <c r="CZ42" i="12"/>
  <c r="CY42" i="12"/>
  <c r="CX42" i="12"/>
  <c r="DE95" i="12"/>
  <c r="CZ95" i="12"/>
  <c r="CY95" i="12"/>
  <c r="CT83" i="12"/>
  <c r="CV83" i="12"/>
  <c r="DL64" i="12"/>
  <c r="DJ64" i="12"/>
  <c r="CV13" i="12"/>
  <c r="CT13" i="12"/>
  <c r="DJ176" i="12"/>
  <c r="DL176" i="12"/>
  <c r="DJ68" i="12"/>
  <c r="DL68" i="12"/>
  <c r="CZ54" i="12"/>
  <c r="DE54" i="12"/>
  <c r="CY54" i="12"/>
  <c r="CV25" i="12"/>
  <c r="CT25" i="12"/>
  <c r="CZ70" i="12"/>
  <c r="CY70" i="12"/>
  <c r="DE70" i="12"/>
  <c r="CJ182" i="12"/>
  <c r="CO182" i="12"/>
  <c r="CI182" i="12"/>
  <c r="CO109" i="12"/>
  <c r="CJ109" i="12"/>
  <c r="CI109" i="12"/>
  <c r="CZ37" i="12"/>
  <c r="DE37" i="12"/>
  <c r="CX37" i="12"/>
  <c r="CZ61" i="12"/>
  <c r="CY61" i="12"/>
  <c r="CX61" i="12"/>
  <c r="DE61" i="12"/>
  <c r="CY60" i="12"/>
  <c r="CZ60" i="12"/>
  <c r="CX60" i="12"/>
  <c r="DE60" i="12"/>
  <c r="CY92" i="12"/>
  <c r="DE92" i="12"/>
  <c r="CZ92" i="12"/>
  <c r="F46" i="26"/>
  <c r="CZ34" i="12"/>
  <c r="CX34" i="12"/>
  <c r="DE34" i="12"/>
  <c r="CY34" i="12"/>
  <c r="DE125" i="12"/>
  <c r="CY125" i="12"/>
  <c r="CZ125" i="12"/>
  <c r="CI27" i="12"/>
  <c r="CO27" i="12"/>
  <c r="CH27" i="12"/>
  <c r="CJ27" i="12"/>
  <c r="CX57" i="12"/>
  <c r="DE57" i="12"/>
  <c r="CY57" i="12"/>
  <c r="CZ57" i="12"/>
  <c r="CV63" i="12"/>
  <c r="CT63" i="12"/>
  <c r="CJ40" i="12"/>
  <c r="CI40" i="12"/>
  <c r="CO40" i="12"/>
  <c r="CV11" i="12"/>
  <c r="CT11" i="12"/>
  <c r="CY32" i="12"/>
  <c r="DE32" i="12"/>
  <c r="CZ32" i="12"/>
  <c r="CX32" i="12"/>
  <c r="DE66" i="12"/>
  <c r="CY66" i="12"/>
  <c r="CZ66" i="12"/>
  <c r="CT85" i="12"/>
  <c r="CV85" i="12"/>
  <c r="CI163" i="12"/>
  <c r="CJ163" i="12"/>
  <c r="CO163" i="12"/>
  <c r="CT76" i="12"/>
  <c r="CV76" i="12"/>
  <c r="CO171" i="12"/>
  <c r="CJ171" i="12"/>
  <c r="CI171" i="12"/>
  <c r="DP23" i="12"/>
  <c r="DU23" i="12"/>
  <c r="DZ23" i="12" s="1"/>
  <c r="DO23" i="12"/>
  <c r="CI174" i="12"/>
  <c r="CO174" i="12"/>
  <c r="CJ174" i="12"/>
  <c r="CY69" i="12"/>
  <c r="DE69" i="12"/>
  <c r="CZ69" i="12"/>
  <c r="CY10" i="12"/>
  <c r="CZ10" i="12"/>
  <c r="DE10" i="12"/>
  <c r="CX10" i="12"/>
  <c r="CJ82" i="12"/>
  <c r="CI82" i="12"/>
  <c r="CO82" i="12"/>
  <c r="CT164" i="12"/>
  <c r="CV164" i="12"/>
  <c r="DE104" i="12"/>
  <c r="CZ104" i="12"/>
  <c r="CY104" i="12"/>
  <c r="CY28" i="12"/>
  <c r="CX28" i="12"/>
  <c r="CZ28" i="12"/>
  <c r="DE28" i="12"/>
  <c r="DO38" i="12"/>
  <c r="DU38" i="12"/>
  <c r="DZ38" i="12" s="1"/>
  <c r="DP38" i="12"/>
  <c r="DN38" i="12"/>
  <c r="CY112" i="12"/>
  <c r="DE112" i="12"/>
  <c r="CZ112" i="12"/>
  <c r="DL102" i="12"/>
  <c r="DJ102" i="12"/>
  <c r="DO71" i="12"/>
  <c r="DU71" i="12"/>
  <c r="DZ71" i="12" s="1"/>
  <c r="DP71" i="12"/>
  <c r="CT45" i="12"/>
  <c r="CV45" i="12"/>
  <c r="CV165" i="12"/>
  <c r="CT165" i="12"/>
  <c r="DJ67" i="12"/>
  <c r="DL67" i="12"/>
  <c r="CT80" i="12"/>
  <c r="CV80" i="12"/>
  <c r="CY177" i="12"/>
  <c r="DE177" i="12"/>
  <c r="CZ177" i="12"/>
  <c r="DE84" i="12"/>
  <c r="CY84" i="12"/>
  <c r="CZ84" i="12"/>
  <c r="CY73" i="12"/>
  <c r="CZ73" i="12"/>
  <c r="DE73" i="12"/>
  <c r="CJ184" i="12"/>
  <c r="CI184" i="12"/>
  <c r="CO184" i="12"/>
  <c r="CY116" i="12"/>
  <c r="CZ116" i="12"/>
  <c r="DE116" i="12"/>
  <c r="CI26" i="12"/>
  <c r="CH26" i="12"/>
  <c r="CJ26" i="12"/>
  <c r="CO26" i="12"/>
  <c r="CZ75" i="12"/>
  <c r="DE75" i="12"/>
  <c r="CY75" i="12"/>
  <c r="CT114" i="12"/>
  <c r="CV114" i="12"/>
  <c r="CT161" i="12"/>
  <c r="CV161" i="12"/>
  <c r="DJ159" i="12"/>
  <c r="DL159" i="12"/>
  <c r="CT43" i="12"/>
  <c r="CV43" i="12"/>
  <c r="CH30" i="12"/>
  <c r="CI30" i="12"/>
  <c r="CO30" i="12"/>
  <c r="CJ30" i="12"/>
  <c r="CY16" i="12"/>
  <c r="CX16" i="12"/>
  <c r="DE16" i="12"/>
  <c r="CZ16" i="12"/>
  <c r="CY115" i="12"/>
  <c r="DE115" i="12"/>
  <c r="CZ115" i="12"/>
  <c r="DP126" i="12"/>
  <c r="DU126" i="12"/>
  <c r="DZ126" i="12" s="1"/>
  <c r="DO126" i="12"/>
  <c r="DO121" i="12"/>
  <c r="DU121" i="12"/>
  <c r="DZ121" i="12" s="1"/>
  <c r="DP121" i="12"/>
  <c r="CZ39" i="12"/>
  <c r="CX39" i="12"/>
  <c r="DE39" i="12"/>
  <c r="CY39" i="12"/>
  <c r="DN62" i="12"/>
  <c r="DU62" i="12"/>
  <c r="DZ62" i="12" s="1"/>
  <c r="DO62" i="12"/>
  <c r="DP62" i="12"/>
  <c r="CV105" i="12"/>
  <c r="CT105" i="12"/>
  <c r="CV183" i="12"/>
  <c r="CT183" i="12"/>
  <c r="CZ101" i="12"/>
  <c r="CY101" i="12"/>
  <c r="DE101" i="12"/>
  <c r="CY77" i="12"/>
  <c r="DE77" i="12"/>
  <c r="CZ77" i="12"/>
  <c r="DL141" i="12"/>
  <c r="DJ141" i="12"/>
  <c r="DL111" i="12"/>
  <c r="DJ111" i="12"/>
  <c r="DJ94" i="12"/>
  <c r="DL94" i="12"/>
  <c r="DE123" i="12"/>
  <c r="CZ123" i="12"/>
  <c r="CY123" i="12"/>
  <c r="CV120" i="12"/>
  <c r="CT120" i="12"/>
  <c r="CY156" i="12"/>
  <c r="CZ156" i="12"/>
  <c r="DE156" i="12"/>
  <c r="DL118" i="12"/>
  <c r="DJ118" i="12"/>
  <c r="CI24" i="12"/>
  <c r="CO24" i="12"/>
  <c r="CJ24" i="12"/>
  <c r="CO152" i="12"/>
  <c r="CI152" i="12"/>
  <c r="CJ152" i="12"/>
  <c r="CT197" i="12"/>
  <c r="CD208" i="12"/>
  <c r="CD210" i="12" s="1"/>
  <c r="G27" i="23"/>
  <c r="G30" i="23" s="1"/>
  <c r="I18" i="23"/>
  <c r="I27" i="23" s="1"/>
  <c r="I30" i="23" s="1"/>
  <c r="CV41" i="12"/>
  <c r="CT41" i="12"/>
  <c r="CO153" i="12"/>
  <c r="CI153" i="12"/>
  <c r="CJ153" i="12"/>
  <c r="CJ53" i="12"/>
  <c r="CI53" i="12"/>
  <c r="CO53" i="12"/>
  <c r="E17" i="13"/>
  <c r="E19" i="13" s="1"/>
  <c r="BY205" i="12"/>
  <c r="BY208" i="12" s="1"/>
  <c r="CJ12" i="12"/>
  <c r="CO12" i="12"/>
  <c r="CH12" i="12"/>
  <c r="CI12" i="12"/>
  <c r="CH14" i="12"/>
  <c r="CJ14" i="12"/>
  <c r="CI14" i="12"/>
  <c r="CO14" i="12"/>
  <c r="CJ33" i="12"/>
  <c r="CI33" i="12"/>
  <c r="CH33" i="12"/>
  <c r="CO33" i="12"/>
  <c r="CT181" i="12"/>
  <c r="CV181" i="12"/>
  <c r="CJ8" i="12"/>
  <c r="CO8" i="12"/>
  <c r="CI8" i="12"/>
  <c r="CI9" i="12"/>
  <c r="CJ9" i="12"/>
  <c r="CO9" i="12"/>
  <c r="CH6" i="12"/>
  <c r="CH179" i="12" s="1"/>
  <c r="CH186" i="12" s="1"/>
  <c r="CO6" i="12"/>
  <c r="CI6" i="12"/>
  <c r="CI179" i="12" s="1"/>
  <c r="CI186" i="12" s="1"/>
  <c r="CJ6" i="12"/>
  <c r="CJ179" i="12" s="1"/>
  <c r="CJ186" i="12" s="1"/>
  <c r="CF179" i="12"/>
  <c r="CF186" i="12" s="1"/>
  <c r="CO52" i="12"/>
  <c r="CI52" i="12"/>
  <c r="CJ52" i="12"/>
  <c r="E41" i="13"/>
  <c r="E23" i="13"/>
  <c r="E24" i="13" s="1"/>
  <c r="CI48" i="12"/>
  <c r="CO48" i="12"/>
  <c r="CJ48" i="12"/>
  <c r="CI148" i="12"/>
  <c r="CJ148" i="12"/>
  <c r="CO148" i="12"/>
  <c r="CT168" i="12"/>
  <c r="CV168" i="12"/>
  <c r="CJ7" i="12"/>
  <c r="CO7" i="12"/>
  <c r="CI7" i="12"/>
  <c r="CO97" i="12"/>
  <c r="CI97" i="12"/>
  <c r="CJ97" i="12"/>
  <c r="DL119" i="12"/>
  <c r="DJ119" i="12"/>
  <c r="CV157" i="12"/>
  <c r="CT157" i="12"/>
  <c r="CT87" i="12"/>
  <c r="CV87" i="12"/>
  <c r="CJ149" i="12"/>
  <c r="CI149" i="12"/>
  <c r="CO149" i="12"/>
  <c r="CV151" i="12"/>
  <c r="CT151" i="12"/>
  <c r="CT91" i="12"/>
  <c r="CV91" i="12"/>
  <c r="D15" i="23"/>
  <c r="D31" i="23" s="1"/>
  <c r="E14" i="23"/>
  <c r="CO207" i="12"/>
  <c r="DE188" i="12"/>
  <c r="CT147" i="12"/>
  <c r="CV147" i="12"/>
  <c r="CJ132" i="12"/>
  <c r="CI132" i="12"/>
  <c r="CO132" i="12"/>
  <c r="CV155" i="12"/>
  <c r="CT155" i="12"/>
  <c r="CV175" i="12"/>
  <c r="CT175" i="12"/>
  <c r="CJ55" i="12"/>
  <c r="CI55" i="12"/>
  <c r="CO55" i="12"/>
  <c r="CI19" i="12"/>
  <c r="CH19" i="12"/>
  <c r="CJ19" i="12"/>
  <c r="CO19" i="12"/>
  <c r="CV170" i="12"/>
  <c r="CT170" i="12"/>
  <c r="CI15" i="12"/>
  <c r="CH15" i="12"/>
  <c r="CJ15" i="12"/>
  <c r="CO15" i="12"/>
  <c r="CJ22" i="12"/>
  <c r="CI22" i="12"/>
  <c r="CO22" i="12"/>
  <c r="BZ205" i="12"/>
  <c r="CJ142" i="12"/>
  <c r="CI142" i="12"/>
  <c r="CO142" i="12"/>
  <c r="CV166" i="12"/>
  <c r="CT166" i="12"/>
  <c r="CJ150" i="12"/>
  <c r="CI150" i="12"/>
  <c r="CO150" i="12"/>
  <c r="CH46" i="12"/>
  <c r="CJ46" i="12"/>
  <c r="CI46" i="12"/>
  <c r="CO46" i="12"/>
  <c r="CI89" i="12"/>
  <c r="CJ89" i="12"/>
  <c r="CO89" i="12"/>
  <c r="CJ158" i="12"/>
  <c r="CO158" i="12"/>
  <c r="CI158" i="12"/>
  <c r="CI133" i="12"/>
  <c r="CO133" i="12"/>
  <c r="CJ133" i="12"/>
  <c r="CO110" i="12"/>
  <c r="CJ110" i="12"/>
  <c r="CI110" i="12"/>
  <c r="CJ140" i="12"/>
  <c r="CI140" i="12"/>
  <c r="CO140" i="12"/>
  <c r="CI146" i="12"/>
  <c r="CJ146" i="12"/>
  <c r="CO146" i="12"/>
  <c r="H27" i="23"/>
  <c r="H30" i="23" s="1"/>
  <c r="I25" i="23"/>
  <c r="CJ50" i="12"/>
  <c r="CI50" i="12"/>
  <c r="CO50" i="12"/>
  <c r="CJ100" i="12"/>
  <c r="CO100" i="12"/>
  <c r="CI100" i="12"/>
  <c r="CT17" i="12"/>
  <c r="CV17" i="12"/>
  <c r="M8" i="23"/>
  <c r="CJ29" i="12"/>
  <c r="CO29" i="12"/>
  <c r="CI29" i="12"/>
  <c r="CH29" i="12"/>
  <c r="L25" i="23"/>
  <c r="CP179" i="12"/>
  <c r="CP186" i="12" s="1"/>
  <c r="K9" i="23"/>
  <c r="M9" i="23" s="1"/>
  <c r="CT189" i="12"/>
  <c r="F12" i="13"/>
  <c r="CI131" i="12"/>
  <c r="CJ131" i="12"/>
  <c r="CO131" i="12"/>
  <c r="CI98" i="12"/>
  <c r="CJ98" i="12"/>
  <c r="CO98" i="12"/>
  <c r="CJ21" i="12"/>
  <c r="CI21" i="12"/>
  <c r="CH21" i="12"/>
  <c r="CO21" i="12"/>
  <c r="CI130" i="12"/>
  <c r="CJ130" i="12"/>
  <c r="CO130" i="12"/>
  <c r="CV108" i="12"/>
  <c r="CT108" i="12"/>
  <c r="CJ138" i="12"/>
  <c r="CI138" i="12"/>
  <c r="CO138" i="12"/>
  <c r="CI44" i="12"/>
  <c r="CH44" i="12"/>
  <c r="CJ44" i="12"/>
  <c r="CO44" i="12"/>
  <c r="CJ96" i="12"/>
  <c r="CI96" i="12"/>
  <c r="CO96" i="12"/>
  <c r="CI47" i="12"/>
  <c r="CO47" i="12"/>
  <c r="CJ47" i="12"/>
  <c r="CV136" i="12"/>
  <c r="CT136" i="12"/>
  <c r="CI134" i="12"/>
  <c r="CJ134" i="12"/>
  <c r="CO134" i="12"/>
  <c r="I10" i="23"/>
  <c r="G15" i="23"/>
  <c r="G31" i="23" s="1"/>
  <c r="G34" i="23"/>
  <c r="I36" i="23" s="1"/>
  <c r="CV127" i="12"/>
  <c r="CT127" i="12"/>
  <c r="CV117" i="12"/>
  <c r="CT117" i="12"/>
  <c r="CV154" i="12"/>
  <c r="CT154" i="12"/>
  <c r="F20" i="15"/>
  <c r="F22" i="15" s="1"/>
  <c r="CO198" i="12"/>
  <c r="CO203" i="12" s="1"/>
  <c r="CK179" i="12"/>
  <c r="CK186" i="12" s="1"/>
  <c r="K22" i="23"/>
  <c r="M22" i="23" s="1"/>
  <c r="CT129" i="12"/>
  <c r="CV129" i="12"/>
  <c r="CI35" i="12"/>
  <c r="CJ35" i="12"/>
  <c r="CH35" i="12"/>
  <c r="CO35" i="12"/>
  <c r="CV128" i="12"/>
  <c r="CT128" i="12"/>
  <c r="CZ169" i="12"/>
  <c r="CY169" i="12"/>
  <c r="DE169" i="12"/>
  <c r="CT143" i="12"/>
  <c r="DP145" i="12"/>
  <c r="DO145" i="12"/>
  <c r="DU145" i="12" s="1"/>
  <c r="DZ145" i="12" s="1"/>
  <c r="CY143" i="12"/>
  <c r="DE143" i="12" s="1"/>
  <c r="CZ143" i="12"/>
  <c r="H14" i="23"/>
  <c r="E37" i="23"/>
  <c r="CT198" i="12"/>
  <c r="CT203" i="12" s="1"/>
  <c r="E70" i="23"/>
  <c r="C73" i="23"/>
  <c r="C74" i="23"/>
  <c r="C78" i="23" s="1"/>
  <c r="E63" i="23"/>
  <c r="E26" i="13" l="1"/>
  <c r="DE58" i="12"/>
  <c r="CZ58" i="12"/>
  <c r="CY58" i="12"/>
  <c r="CX58" i="12"/>
  <c r="DL20" i="12"/>
  <c r="DJ20" i="12"/>
  <c r="CV122" i="12"/>
  <c r="CT122" i="12"/>
  <c r="DJ18" i="12"/>
  <c r="DL18" i="12"/>
  <c r="DJ49" i="12"/>
  <c r="DL49" i="12"/>
  <c r="DE79" i="12"/>
  <c r="DL107" i="12"/>
  <c r="DJ107" i="12"/>
  <c r="DL124" i="12"/>
  <c r="DJ124" i="12"/>
  <c r="CY72" i="12"/>
  <c r="CZ72" i="12"/>
  <c r="DE72" i="12"/>
  <c r="DJ135" i="12"/>
  <c r="DL135" i="12"/>
  <c r="DL81" i="12"/>
  <c r="DJ81" i="12"/>
  <c r="CT59" i="12"/>
  <c r="CV59" i="12"/>
  <c r="DL31" i="12"/>
  <c r="DJ31" i="12"/>
  <c r="CT78" i="12"/>
  <c r="CV78" i="12"/>
  <c r="DJ90" i="12"/>
  <c r="DL90" i="12"/>
  <c r="DJ173" i="12"/>
  <c r="DL173" i="12"/>
  <c r="DU162" i="12"/>
  <c r="DZ162" i="12" s="1"/>
  <c r="DO162" i="12"/>
  <c r="DP162" i="12"/>
  <c r="CT167" i="12"/>
  <c r="CV167" i="12"/>
  <c r="CT139" i="12"/>
  <c r="CV139" i="12"/>
  <c r="DP113" i="12"/>
  <c r="DU113" i="12"/>
  <c r="DZ113" i="12" s="1"/>
  <c r="DO113" i="12"/>
  <c r="DJ54" i="12"/>
  <c r="DL54" i="12"/>
  <c r="DO68" i="12"/>
  <c r="DP68" i="12"/>
  <c r="DU68" i="12"/>
  <c r="DZ68" i="12" s="1"/>
  <c r="CZ83" i="12"/>
  <c r="CY83" i="12"/>
  <c r="DE83" i="12"/>
  <c r="DJ95" i="12"/>
  <c r="DL95" i="12"/>
  <c r="DL42" i="12"/>
  <c r="DJ42" i="12"/>
  <c r="DL60" i="12"/>
  <c r="DJ60" i="12"/>
  <c r="DL61" i="12"/>
  <c r="DJ61" i="12"/>
  <c r="CT182" i="12"/>
  <c r="CV182" i="12"/>
  <c r="CZ13" i="12"/>
  <c r="CX13" i="12"/>
  <c r="DE13" i="12"/>
  <c r="CY13" i="12"/>
  <c r="DE25" i="12"/>
  <c r="CZ25" i="12"/>
  <c r="CY25" i="12"/>
  <c r="DO176" i="12"/>
  <c r="DU176" i="12"/>
  <c r="DZ176" i="12" s="1"/>
  <c r="DP176" i="12"/>
  <c r="DL51" i="12"/>
  <c r="DJ51" i="12"/>
  <c r="DL103" i="12"/>
  <c r="DJ103" i="12"/>
  <c r="DL92" i="12"/>
  <c r="DJ92" i="12"/>
  <c r="DL37" i="12"/>
  <c r="DJ37" i="12"/>
  <c r="CT109" i="12"/>
  <c r="CV109" i="12"/>
  <c r="DJ70" i="12"/>
  <c r="DL70" i="12"/>
  <c r="DU64" i="12"/>
  <c r="DZ64" i="12" s="1"/>
  <c r="DP64" i="12"/>
  <c r="DO64" i="12"/>
  <c r="CT36" i="12"/>
  <c r="CV36" i="12"/>
  <c r="DP172" i="12"/>
  <c r="DU172" i="12"/>
  <c r="DZ172" i="12" s="1"/>
  <c r="DO172" i="12"/>
  <c r="DL69" i="12"/>
  <c r="DJ69" i="12"/>
  <c r="CT40" i="12"/>
  <c r="CV40" i="12"/>
  <c r="DE63" i="12"/>
  <c r="CZ63" i="12"/>
  <c r="CY63" i="12"/>
  <c r="CT82" i="12"/>
  <c r="CV82" i="12"/>
  <c r="DJ10" i="12"/>
  <c r="DL10" i="12"/>
  <c r="CY76" i="12"/>
  <c r="CZ76" i="12"/>
  <c r="DE76" i="12"/>
  <c r="DJ32" i="12"/>
  <c r="DL32" i="12"/>
  <c r="DL34" i="12"/>
  <c r="DJ34" i="12"/>
  <c r="CT171" i="12"/>
  <c r="CV171" i="12"/>
  <c r="CY85" i="12"/>
  <c r="DE85" i="12"/>
  <c r="CZ85" i="12"/>
  <c r="DL66" i="12"/>
  <c r="DJ66" i="12"/>
  <c r="DJ57" i="12"/>
  <c r="DL57" i="12"/>
  <c r="CT27" i="12"/>
  <c r="CV27" i="12"/>
  <c r="CZ164" i="12"/>
  <c r="CY164" i="12"/>
  <c r="DE164" i="12"/>
  <c r="CT174" i="12"/>
  <c r="CV174" i="12"/>
  <c r="CT163" i="12"/>
  <c r="CV163" i="12"/>
  <c r="CX11" i="12"/>
  <c r="DE11" i="12"/>
  <c r="CY11" i="12"/>
  <c r="CZ11" i="12"/>
  <c r="DL125" i="12"/>
  <c r="DJ125" i="12"/>
  <c r="CY161" i="12"/>
  <c r="CZ161" i="12"/>
  <c r="DE161" i="12"/>
  <c r="DJ73" i="12"/>
  <c r="DL73" i="12"/>
  <c r="DL123" i="12"/>
  <c r="DJ123" i="12"/>
  <c r="DP111" i="12"/>
  <c r="DU111" i="12"/>
  <c r="DZ111" i="12" s="1"/>
  <c r="DO111" i="12"/>
  <c r="DJ77" i="12"/>
  <c r="DL77" i="12"/>
  <c r="CY105" i="12"/>
  <c r="CX105" i="12"/>
  <c r="CZ105" i="12"/>
  <c r="DE105" i="12"/>
  <c r="DE43" i="12"/>
  <c r="CY43" i="12"/>
  <c r="CX43" i="12"/>
  <c r="CZ43" i="12"/>
  <c r="DL75" i="12"/>
  <c r="DJ75" i="12"/>
  <c r="CV184" i="12"/>
  <c r="CT184" i="12"/>
  <c r="DJ84" i="12"/>
  <c r="DL84" i="12"/>
  <c r="CY80" i="12"/>
  <c r="DE80" i="12"/>
  <c r="CZ80" i="12"/>
  <c r="DP102" i="12"/>
  <c r="DU102" i="12"/>
  <c r="DZ102" i="12" s="1"/>
  <c r="DO102" i="12"/>
  <c r="DL28" i="12"/>
  <c r="DJ28" i="12"/>
  <c r="DL156" i="12"/>
  <c r="DJ156" i="12"/>
  <c r="CZ120" i="12"/>
  <c r="CY120" i="12"/>
  <c r="DE120" i="12"/>
  <c r="DO94" i="12"/>
  <c r="DU94" i="12"/>
  <c r="DZ94" i="12" s="1"/>
  <c r="DP94" i="12"/>
  <c r="DJ39" i="12"/>
  <c r="DL39" i="12"/>
  <c r="DJ16" i="12"/>
  <c r="DL16" i="12"/>
  <c r="CT30" i="12"/>
  <c r="CV30" i="12"/>
  <c r="CY114" i="12"/>
  <c r="CZ114" i="12"/>
  <c r="DE114" i="12"/>
  <c r="CY165" i="12"/>
  <c r="CZ165" i="12"/>
  <c r="DE165" i="12"/>
  <c r="DP141" i="12"/>
  <c r="DO141" i="12"/>
  <c r="DU141" i="12"/>
  <c r="DZ141" i="12" s="1"/>
  <c r="DL101" i="12"/>
  <c r="DJ101" i="12"/>
  <c r="CZ183" i="12"/>
  <c r="DE183" i="12"/>
  <c r="CY183" i="12"/>
  <c r="DL115" i="12"/>
  <c r="DJ115" i="12"/>
  <c r="DO159" i="12"/>
  <c r="DU159" i="12"/>
  <c r="DZ159" i="12" s="1"/>
  <c r="DP159" i="12"/>
  <c r="CV26" i="12"/>
  <c r="CT26" i="12"/>
  <c r="DL116" i="12"/>
  <c r="DJ116" i="12"/>
  <c r="DL177" i="12"/>
  <c r="DJ177" i="12"/>
  <c r="DP67" i="12"/>
  <c r="DU67" i="12"/>
  <c r="DZ67" i="12" s="1"/>
  <c r="DO67" i="12"/>
  <c r="CX45" i="12"/>
  <c r="DE45" i="12"/>
  <c r="CZ45" i="12"/>
  <c r="CY45" i="12"/>
  <c r="DL112" i="12"/>
  <c r="DJ112" i="12"/>
  <c r="DJ104" i="12"/>
  <c r="DL104" i="12"/>
  <c r="CV152" i="12"/>
  <c r="CT152" i="12"/>
  <c r="CV24" i="12"/>
  <c r="CT24" i="12"/>
  <c r="DP118" i="12"/>
  <c r="DO118" i="12"/>
  <c r="DU118" i="12"/>
  <c r="DZ118" i="12" s="1"/>
  <c r="CF206" i="12"/>
  <c r="CF205" i="12"/>
  <c r="K18" i="23"/>
  <c r="F9" i="15"/>
  <c r="G8" i="15" s="1"/>
  <c r="G14" i="15" s="1"/>
  <c r="G18" i="15" s="1"/>
  <c r="CH205" i="12"/>
  <c r="K19" i="23"/>
  <c r="M19" i="23" s="1"/>
  <c r="CT9" i="12"/>
  <c r="CV9" i="12"/>
  <c r="CT8" i="12"/>
  <c r="CV8" i="12"/>
  <c r="CT12" i="12"/>
  <c r="CV12" i="12"/>
  <c r="CV153" i="12"/>
  <c r="CT153" i="12"/>
  <c r="CV148" i="12"/>
  <c r="CT148" i="12"/>
  <c r="CT48" i="12"/>
  <c r="CV48" i="12"/>
  <c r="CV52" i="12"/>
  <c r="CT52" i="12"/>
  <c r="K21" i="23"/>
  <c r="M21" i="23" s="1"/>
  <c r="F11" i="15"/>
  <c r="F22" i="13"/>
  <c r="CJ205" i="12"/>
  <c r="CT33" i="12"/>
  <c r="CV33" i="12"/>
  <c r="CT53" i="12"/>
  <c r="CV53" i="12"/>
  <c r="CZ41" i="12"/>
  <c r="CY41" i="12"/>
  <c r="DE41" i="12"/>
  <c r="CV7" i="12"/>
  <c r="CT7" i="12"/>
  <c r="CZ168" i="12"/>
  <c r="CY168" i="12"/>
  <c r="DE168" i="12"/>
  <c r="K20" i="23"/>
  <c r="M20" i="23" s="1"/>
  <c r="CI205" i="12"/>
  <c r="F10" i="15"/>
  <c r="CV6" i="12"/>
  <c r="CT6" i="12"/>
  <c r="CT179" i="12" s="1"/>
  <c r="CT186" i="12" s="1"/>
  <c r="CT205" i="12" s="1"/>
  <c r="CO179" i="12"/>
  <c r="CO186" i="12" s="1"/>
  <c r="CO205" i="12" s="1"/>
  <c r="CO208" i="12" s="1"/>
  <c r="CY181" i="12"/>
  <c r="CZ181" i="12"/>
  <c r="DE181" i="12"/>
  <c r="CT14" i="12"/>
  <c r="CV14" i="12"/>
  <c r="DJ169" i="12"/>
  <c r="DL169" i="12"/>
  <c r="CZ128" i="12"/>
  <c r="DE128" i="12"/>
  <c r="CY128" i="12"/>
  <c r="F12" i="15"/>
  <c r="K23" i="23"/>
  <c r="M23" i="23" s="1"/>
  <c r="CK205" i="12"/>
  <c r="CY154" i="12"/>
  <c r="CZ154" i="12"/>
  <c r="DE154" i="12"/>
  <c r="CV47" i="12"/>
  <c r="CT47" i="12"/>
  <c r="CT131" i="12"/>
  <c r="CV131" i="12"/>
  <c r="CV29" i="12"/>
  <c r="CT29" i="12"/>
  <c r="CT100" i="12"/>
  <c r="CV100" i="12"/>
  <c r="CT110" i="12"/>
  <c r="CV110" i="12"/>
  <c r="CT142" i="12"/>
  <c r="CV142" i="12"/>
  <c r="CZ155" i="12"/>
  <c r="CY155" i="12"/>
  <c r="DE155" i="12"/>
  <c r="DE147" i="12"/>
  <c r="CZ147" i="12"/>
  <c r="CY147" i="12"/>
  <c r="DE189" i="12"/>
  <c r="DF142" i="12" s="1"/>
  <c r="DJ188" i="12"/>
  <c r="DJ196" i="12" s="1"/>
  <c r="DA163" i="12"/>
  <c r="G11" i="13"/>
  <c r="G14" i="13" s="1"/>
  <c r="DE196" i="12"/>
  <c r="CY91" i="12"/>
  <c r="CZ91" i="12"/>
  <c r="DE91" i="12"/>
  <c r="CV149" i="12"/>
  <c r="CT149" i="12"/>
  <c r="CZ87" i="12"/>
  <c r="CY87" i="12"/>
  <c r="DE87" i="12"/>
  <c r="CT97" i="12"/>
  <c r="CV97" i="12"/>
  <c r="CT35" i="12"/>
  <c r="CV35" i="12"/>
  <c r="CY129" i="12"/>
  <c r="CZ129" i="12"/>
  <c r="DE129" i="12"/>
  <c r="CV134" i="12"/>
  <c r="CT134" i="12"/>
  <c r="CV21" i="12"/>
  <c r="CT21" i="12"/>
  <c r="DE17" i="12"/>
  <c r="CX17" i="12"/>
  <c r="CY17" i="12"/>
  <c r="CZ17" i="12"/>
  <c r="CT50" i="12"/>
  <c r="CV50" i="12"/>
  <c r="CV46" i="12"/>
  <c r="CT46" i="12"/>
  <c r="CT150" i="12"/>
  <c r="CV150" i="12"/>
  <c r="CZ166" i="12"/>
  <c r="CY166" i="12"/>
  <c r="DE166" i="12"/>
  <c r="CT19" i="12"/>
  <c r="CV19" i="12"/>
  <c r="CV132" i="12"/>
  <c r="CT132" i="12"/>
  <c r="CT207" i="12"/>
  <c r="DU119" i="12"/>
  <c r="DZ119" i="12" s="1"/>
  <c r="DP119" i="12"/>
  <c r="DO119" i="12"/>
  <c r="CV96" i="12"/>
  <c r="CT96" i="12"/>
  <c r="CT130" i="12"/>
  <c r="CV130" i="12"/>
  <c r="CP205" i="12"/>
  <c r="O8" i="23"/>
  <c r="CT140" i="12"/>
  <c r="CV140" i="12"/>
  <c r="CT133" i="12"/>
  <c r="CV133" i="12"/>
  <c r="CV89" i="12"/>
  <c r="CT89" i="12"/>
  <c r="CV15" i="12"/>
  <c r="CT15" i="12"/>
  <c r="DE170" i="12"/>
  <c r="CZ170" i="12"/>
  <c r="CY170" i="12"/>
  <c r="CT55" i="12"/>
  <c r="CV55" i="12"/>
  <c r="CY175" i="12"/>
  <c r="DE175" i="12"/>
  <c r="CZ175" i="12"/>
  <c r="DE117" i="12"/>
  <c r="CY117" i="12"/>
  <c r="CZ117" i="12"/>
  <c r="CY127" i="12"/>
  <c r="DE127" i="12"/>
  <c r="CZ127" i="12"/>
  <c r="G35" i="23"/>
  <c r="CZ136" i="12"/>
  <c r="DE136" i="12"/>
  <c r="CY136" i="12"/>
  <c r="CT44" i="12"/>
  <c r="CV44" i="12"/>
  <c r="CT138" i="12"/>
  <c r="CV138" i="12"/>
  <c r="DE108" i="12"/>
  <c r="CZ108" i="12"/>
  <c r="CY108" i="12"/>
  <c r="CV98" i="12"/>
  <c r="CT98" i="12"/>
  <c r="L27" i="23"/>
  <c r="L30" i="23" s="1"/>
  <c r="M25" i="23"/>
  <c r="K10" i="23"/>
  <c r="CT146" i="12"/>
  <c r="CV146" i="12"/>
  <c r="CT158" i="12"/>
  <c r="CV158" i="12"/>
  <c r="CT22" i="12"/>
  <c r="CV22" i="12"/>
  <c r="CZ151" i="12"/>
  <c r="DE151" i="12"/>
  <c r="CY151" i="12"/>
  <c r="CZ157" i="12"/>
  <c r="CY157" i="12"/>
  <c r="DE157" i="12"/>
  <c r="I14" i="23"/>
  <c r="I15" i="23" s="1"/>
  <c r="I31" i="23" s="1"/>
  <c r="H15" i="23"/>
  <c r="H31" i="23" s="1"/>
  <c r="DJ143" i="12"/>
  <c r="DL143" i="12"/>
  <c r="I60" i="23"/>
  <c r="I61" i="23" s="1"/>
  <c r="I62" i="23"/>
  <c r="E74" i="23"/>
  <c r="E73" i="23"/>
  <c r="DJ58" i="12" l="1"/>
  <c r="DL58" i="12"/>
  <c r="CY122" i="12"/>
  <c r="CZ122" i="12"/>
  <c r="DE122" i="12"/>
  <c r="DO20" i="12"/>
  <c r="DN20" i="12"/>
  <c r="DU20" i="12"/>
  <c r="DZ20" i="12" s="1"/>
  <c r="DP20" i="12"/>
  <c r="DP49" i="12"/>
  <c r="DO49" i="12"/>
  <c r="DU49" i="12"/>
  <c r="DZ49" i="12" s="1"/>
  <c r="DP18" i="12"/>
  <c r="DO18" i="12"/>
  <c r="DU18" i="12"/>
  <c r="DZ18" i="12" s="1"/>
  <c r="DN18" i="12"/>
  <c r="DL72" i="12"/>
  <c r="DJ72" i="12"/>
  <c r="DP124" i="12"/>
  <c r="DO124" i="12"/>
  <c r="DU124" i="12"/>
  <c r="DZ124" i="12" s="1"/>
  <c r="DN31" i="12"/>
  <c r="DP31" i="12"/>
  <c r="DO31" i="12"/>
  <c r="DU31" i="12"/>
  <c r="DZ31" i="12" s="1"/>
  <c r="DU81" i="12"/>
  <c r="DZ81" i="12" s="1"/>
  <c r="DO81" i="12"/>
  <c r="DP81" i="12"/>
  <c r="CX59" i="12"/>
  <c r="CZ59" i="12"/>
  <c r="DE59" i="12"/>
  <c r="CY59" i="12"/>
  <c r="DP135" i="12"/>
  <c r="DU135" i="12"/>
  <c r="DZ135" i="12" s="1"/>
  <c r="DO135" i="12"/>
  <c r="DP107" i="12"/>
  <c r="DO107" i="12"/>
  <c r="DN107" i="12"/>
  <c r="DU107" i="12"/>
  <c r="DZ107" i="12" s="1"/>
  <c r="DJ79" i="12"/>
  <c r="DL79" i="12"/>
  <c r="DP90" i="12"/>
  <c r="DO90" i="12"/>
  <c r="DU90" i="12"/>
  <c r="DZ90" i="12" s="1"/>
  <c r="CZ167" i="12"/>
  <c r="CY167" i="12"/>
  <c r="DE167" i="12"/>
  <c r="DU173" i="12"/>
  <c r="DZ173" i="12" s="1"/>
  <c r="DP173" i="12"/>
  <c r="DO173" i="12"/>
  <c r="CZ78" i="12"/>
  <c r="DE78" i="12"/>
  <c r="CY78" i="12"/>
  <c r="CZ139" i="12"/>
  <c r="DE139" i="12"/>
  <c r="CY139" i="12"/>
  <c r="DO92" i="12"/>
  <c r="DP92" i="12"/>
  <c r="DU92" i="12"/>
  <c r="DZ92" i="12" s="1"/>
  <c r="DP51" i="12"/>
  <c r="DU51" i="12"/>
  <c r="DZ51" i="12" s="1"/>
  <c r="DO51" i="12"/>
  <c r="DJ83" i="12"/>
  <c r="DL83" i="12"/>
  <c r="DP70" i="12"/>
  <c r="DO70" i="12"/>
  <c r="DU70" i="12"/>
  <c r="DZ70" i="12" s="1"/>
  <c r="DJ25" i="12"/>
  <c r="DL25" i="12"/>
  <c r="DP61" i="12"/>
  <c r="DN61" i="12"/>
  <c r="DU61" i="12"/>
  <c r="DZ61" i="12" s="1"/>
  <c r="DO61" i="12"/>
  <c r="DU42" i="12"/>
  <c r="DZ42" i="12" s="1"/>
  <c r="DN42" i="12"/>
  <c r="DP42" i="12"/>
  <c r="DO42" i="12"/>
  <c r="CZ36" i="12"/>
  <c r="CY36" i="12"/>
  <c r="DE36" i="12"/>
  <c r="CX36" i="12"/>
  <c r="DO37" i="12"/>
  <c r="DU37" i="12"/>
  <c r="DZ37" i="12" s="1"/>
  <c r="DP37" i="12"/>
  <c r="DN37" i="12"/>
  <c r="DP103" i="12"/>
  <c r="DO103" i="12"/>
  <c r="DU103" i="12"/>
  <c r="DZ103" i="12" s="1"/>
  <c r="CZ182" i="12"/>
  <c r="DE182" i="12"/>
  <c r="CY182" i="12"/>
  <c r="DP95" i="12"/>
  <c r="DU95" i="12"/>
  <c r="DZ95" i="12" s="1"/>
  <c r="DO95" i="12"/>
  <c r="DP54" i="12"/>
  <c r="DU54" i="12"/>
  <c r="DZ54" i="12" s="1"/>
  <c r="DO54" i="12"/>
  <c r="CY109" i="12"/>
  <c r="CZ109" i="12"/>
  <c r="DE109" i="12"/>
  <c r="DJ13" i="12"/>
  <c r="DL13" i="12"/>
  <c r="DU60" i="12"/>
  <c r="DZ60" i="12" s="1"/>
  <c r="DP60" i="12"/>
  <c r="DN60" i="12"/>
  <c r="DO60" i="12"/>
  <c r="DE207" i="12"/>
  <c r="DU188" i="12"/>
  <c r="DN57" i="12"/>
  <c r="DO57" i="12"/>
  <c r="DP57" i="12"/>
  <c r="DU57" i="12"/>
  <c r="DZ57" i="12" s="1"/>
  <c r="DP10" i="12"/>
  <c r="DN10" i="12"/>
  <c r="DU10" i="12"/>
  <c r="DZ10" i="12" s="1"/>
  <c r="DO10" i="12"/>
  <c r="DL63" i="12"/>
  <c r="DJ63" i="12"/>
  <c r="DJ11" i="12"/>
  <c r="DL11" i="12"/>
  <c r="CZ174" i="12"/>
  <c r="CY174" i="12"/>
  <c r="DE174" i="12"/>
  <c r="DL85" i="12"/>
  <c r="DJ85" i="12"/>
  <c r="DJ76" i="12"/>
  <c r="DL76" i="12"/>
  <c r="CZ40" i="12"/>
  <c r="CY40" i="12"/>
  <c r="DE40" i="12"/>
  <c r="CZ27" i="12"/>
  <c r="CY27" i="12"/>
  <c r="CX27" i="12"/>
  <c r="DE27" i="12"/>
  <c r="DJ27" i="12" s="1"/>
  <c r="DN34" i="12"/>
  <c r="DU34" i="12"/>
  <c r="DZ34" i="12" s="1"/>
  <c r="DP34" i="12"/>
  <c r="DO34" i="12"/>
  <c r="CZ82" i="12"/>
  <c r="DE82" i="12"/>
  <c r="CY82" i="12"/>
  <c r="DP125" i="12"/>
  <c r="DU125" i="12"/>
  <c r="DZ125" i="12" s="1"/>
  <c r="DO125" i="12"/>
  <c r="CZ163" i="12"/>
  <c r="CY163" i="12"/>
  <c r="DE163" i="12"/>
  <c r="DJ164" i="12"/>
  <c r="DL164" i="12"/>
  <c r="DP66" i="12"/>
  <c r="DO66" i="12"/>
  <c r="DU66" i="12"/>
  <c r="DZ66" i="12" s="1"/>
  <c r="CY171" i="12"/>
  <c r="DE171" i="12"/>
  <c r="CZ171" i="12"/>
  <c r="DP32" i="12"/>
  <c r="DN32" i="12"/>
  <c r="DO32" i="12"/>
  <c r="DU32" i="12"/>
  <c r="DZ32" i="12" s="1"/>
  <c r="DU69" i="12"/>
  <c r="DZ69" i="12" s="1"/>
  <c r="DP69" i="12"/>
  <c r="DO69" i="12"/>
  <c r="DJ45" i="12"/>
  <c r="DL45" i="12"/>
  <c r="DO116" i="12"/>
  <c r="DU116" i="12"/>
  <c r="DZ116" i="12" s="1"/>
  <c r="DP116" i="12"/>
  <c r="DO101" i="12"/>
  <c r="DP101" i="12"/>
  <c r="DU101" i="12"/>
  <c r="DZ101" i="12" s="1"/>
  <c r="DJ165" i="12"/>
  <c r="DL165" i="12"/>
  <c r="DO16" i="12"/>
  <c r="DU16" i="12"/>
  <c r="DZ16" i="12" s="1"/>
  <c r="DN16" i="12"/>
  <c r="DP16" i="12"/>
  <c r="DP39" i="12"/>
  <c r="DU39" i="12"/>
  <c r="DZ39" i="12" s="1"/>
  <c r="DO39" i="12"/>
  <c r="DN39" i="12"/>
  <c r="DL80" i="12"/>
  <c r="DJ80" i="12"/>
  <c r="DJ105" i="12"/>
  <c r="DL105" i="12"/>
  <c r="DO77" i="12"/>
  <c r="DU77" i="12"/>
  <c r="DZ77" i="12" s="1"/>
  <c r="DP77" i="12"/>
  <c r="DO112" i="12"/>
  <c r="DU112" i="12"/>
  <c r="DZ112" i="12" s="1"/>
  <c r="DP112" i="12"/>
  <c r="DL183" i="12"/>
  <c r="DJ183" i="12"/>
  <c r="DL120" i="12"/>
  <c r="DJ120" i="12"/>
  <c r="DO156" i="12"/>
  <c r="DP156" i="12"/>
  <c r="DU156" i="12"/>
  <c r="DZ156" i="12" s="1"/>
  <c r="CY184" i="12"/>
  <c r="CZ184" i="12"/>
  <c r="DE184" i="12"/>
  <c r="DL161" i="12"/>
  <c r="DJ161" i="12"/>
  <c r="DO104" i="12"/>
  <c r="DP104" i="12"/>
  <c r="DU104" i="12"/>
  <c r="DZ104" i="12" s="1"/>
  <c r="DP177" i="12"/>
  <c r="DO177" i="12"/>
  <c r="DU177" i="12"/>
  <c r="DZ177" i="12" s="1"/>
  <c r="CY26" i="12"/>
  <c r="CX26" i="12"/>
  <c r="DE26" i="12"/>
  <c r="CZ26" i="12"/>
  <c r="CZ30" i="12"/>
  <c r="CX30" i="12"/>
  <c r="DE30" i="12"/>
  <c r="CY30" i="12"/>
  <c r="DO84" i="12"/>
  <c r="DP84" i="12"/>
  <c r="DU84" i="12"/>
  <c r="DZ84" i="12" s="1"/>
  <c r="DO123" i="12"/>
  <c r="DU123" i="12"/>
  <c r="DZ123" i="12" s="1"/>
  <c r="DP123" i="12"/>
  <c r="DU115" i="12"/>
  <c r="DZ115" i="12" s="1"/>
  <c r="DP115" i="12"/>
  <c r="DO115" i="12"/>
  <c r="DL114" i="12"/>
  <c r="DJ114" i="12"/>
  <c r="DU28" i="12"/>
  <c r="DZ28" i="12" s="1"/>
  <c r="DN28" i="12"/>
  <c r="DP28" i="12"/>
  <c r="DO28" i="12"/>
  <c r="DO75" i="12"/>
  <c r="DP75" i="12"/>
  <c r="DU75" i="12"/>
  <c r="DZ75" i="12" s="1"/>
  <c r="DL43" i="12"/>
  <c r="DJ43" i="12"/>
  <c r="DP73" i="12"/>
  <c r="DU73" i="12"/>
  <c r="DZ73" i="12" s="1"/>
  <c r="DO73" i="12"/>
  <c r="CZ152" i="12"/>
  <c r="CY152" i="12"/>
  <c r="DE152" i="12"/>
  <c r="CY24" i="12"/>
  <c r="CZ24" i="12"/>
  <c r="DE24" i="12"/>
  <c r="DJ197" i="12"/>
  <c r="CT208" i="12"/>
  <c r="CT210" i="12" s="1"/>
  <c r="CZ8" i="12"/>
  <c r="CY8" i="12"/>
  <c r="DE8" i="12"/>
  <c r="DL181" i="12"/>
  <c r="DJ181" i="12"/>
  <c r="F17" i="13"/>
  <c r="F19" i="13" s="1"/>
  <c r="DJ168" i="12"/>
  <c r="DL168" i="12"/>
  <c r="CY7" i="12"/>
  <c r="DE7" i="12"/>
  <c r="CZ7" i="12"/>
  <c r="DL41" i="12"/>
  <c r="DJ41" i="12"/>
  <c r="DE53" i="12"/>
  <c r="CZ53" i="12"/>
  <c r="CY53" i="12"/>
  <c r="CX33" i="12"/>
  <c r="DE33" i="12"/>
  <c r="CZ33" i="12"/>
  <c r="CY33" i="12"/>
  <c r="F41" i="13"/>
  <c r="F23" i="13"/>
  <c r="F24" i="13" s="1"/>
  <c r="CZ148" i="12"/>
  <c r="CY148" i="12"/>
  <c r="DE148" i="12"/>
  <c r="CY153" i="12"/>
  <c r="DE153" i="12"/>
  <c r="CZ153" i="12"/>
  <c r="CY9" i="12"/>
  <c r="CZ9" i="12"/>
  <c r="DE9" i="12"/>
  <c r="M18" i="23"/>
  <c r="M27" i="23" s="1"/>
  <c r="M30" i="23" s="1"/>
  <c r="K27" i="23"/>
  <c r="K30" i="23" s="1"/>
  <c r="CZ14" i="12"/>
  <c r="CY14" i="12"/>
  <c r="CX14" i="12"/>
  <c r="DE14" i="12"/>
  <c r="CX6" i="12"/>
  <c r="CX179" i="12" s="1"/>
  <c r="CX186" i="12" s="1"/>
  <c r="CV179" i="12"/>
  <c r="CV186" i="12" s="1"/>
  <c r="CZ6" i="12"/>
  <c r="CZ179" i="12" s="1"/>
  <c r="CZ186" i="12" s="1"/>
  <c r="DE6" i="12"/>
  <c r="CY6" i="12"/>
  <c r="CY179" i="12" s="1"/>
  <c r="CY186" i="12" s="1"/>
  <c r="CZ52" i="12"/>
  <c r="CY52" i="12"/>
  <c r="DE52" i="12"/>
  <c r="CY48" i="12"/>
  <c r="CZ48" i="12"/>
  <c r="DE48" i="12"/>
  <c r="CY12" i="12"/>
  <c r="CZ12" i="12"/>
  <c r="CX12" i="12"/>
  <c r="DE12" i="12"/>
  <c r="DE138" i="12"/>
  <c r="CZ138" i="12"/>
  <c r="CY138" i="12"/>
  <c r="DJ136" i="12"/>
  <c r="DL136" i="12"/>
  <c r="DL117" i="12"/>
  <c r="DJ117" i="12"/>
  <c r="DL151" i="12"/>
  <c r="DJ151" i="12"/>
  <c r="CY55" i="12"/>
  <c r="CZ55" i="12"/>
  <c r="DE55" i="12"/>
  <c r="CZ89" i="12"/>
  <c r="CY89" i="12"/>
  <c r="DE89" i="12"/>
  <c r="Q8" i="23"/>
  <c r="CZ46" i="12"/>
  <c r="DE46" i="12"/>
  <c r="CY46" i="12"/>
  <c r="CX46" i="12"/>
  <c r="CZ134" i="12"/>
  <c r="CY134" i="12"/>
  <c r="DE134" i="12"/>
  <c r="DL129" i="12"/>
  <c r="DJ129" i="12"/>
  <c r="CY149" i="12"/>
  <c r="DE149" i="12"/>
  <c r="CZ149" i="12"/>
  <c r="DF179" i="12"/>
  <c r="DF186" i="12" s="1"/>
  <c r="P25" i="23"/>
  <c r="O9" i="23"/>
  <c r="Q9" i="23" s="1"/>
  <c r="DJ189" i="12"/>
  <c r="G12" i="13"/>
  <c r="DJ155" i="12"/>
  <c r="DL155" i="12"/>
  <c r="CX29" i="12"/>
  <c r="CZ29" i="12"/>
  <c r="CY29" i="12"/>
  <c r="DE29" i="12"/>
  <c r="CZ131" i="12"/>
  <c r="CY131" i="12"/>
  <c r="DE131" i="12"/>
  <c r="CY47" i="12"/>
  <c r="CZ47" i="12"/>
  <c r="DE47" i="12"/>
  <c r="DO169" i="12"/>
  <c r="DU169" i="12"/>
  <c r="DZ169" i="12" s="1"/>
  <c r="DP169" i="12"/>
  <c r="CX19" i="12"/>
  <c r="CY19" i="12"/>
  <c r="DE19" i="12"/>
  <c r="CZ19" i="12"/>
  <c r="CZ97" i="12"/>
  <c r="CY97" i="12"/>
  <c r="DE97" i="12"/>
  <c r="DJ91" i="12"/>
  <c r="DL91" i="12"/>
  <c r="DA179" i="12"/>
  <c r="DA186" i="12" s="1"/>
  <c r="O22" i="23"/>
  <c r="Q22" i="23" s="1"/>
  <c r="CZ146" i="12"/>
  <c r="CY146" i="12"/>
  <c r="DE146" i="12"/>
  <c r="DJ127" i="12"/>
  <c r="DL127" i="12"/>
  <c r="CY133" i="12"/>
  <c r="CZ133" i="12"/>
  <c r="DE133" i="12"/>
  <c r="K34" i="23"/>
  <c r="M36" i="23" s="1"/>
  <c r="M10" i="23"/>
  <c r="K15" i="23"/>
  <c r="K31" i="23" s="1"/>
  <c r="K35" i="23" s="1"/>
  <c r="DL175" i="12"/>
  <c r="DJ175" i="12"/>
  <c r="CY140" i="12"/>
  <c r="CZ140" i="12"/>
  <c r="DE140" i="12"/>
  <c r="CZ96" i="12"/>
  <c r="DE96" i="12"/>
  <c r="CY96" i="12"/>
  <c r="CZ150" i="12"/>
  <c r="CY150" i="12"/>
  <c r="DE150" i="12"/>
  <c r="CZ50" i="12"/>
  <c r="CY50" i="12"/>
  <c r="DE50" i="12"/>
  <c r="DJ207" i="12"/>
  <c r="H11" i="13"/>
  <c r="H14" i="13" s="1"/>
  <c r="DQ163" i="12"/>
  <c r="DU196" i="12"/>
  <c r="DU189" i="12"/>
  <c r="DZ189" i="12" s="1"/>
  <c r="S9" i="23" s="1"/>
  <c r="U9" i="23" s="1"/>
  <c r="DZ188" i="12"/>
  <c r="DZ196" i="12" s="1"/>
  <c r="CZ110" i="12"/>
  <c r="DE110" i="12"/>
  <c r="CY110" i="12"/>
  <c r="DE100" i="12"/>
  <c r="CY100" i="12"/>
  <c r="CZ100" i="12"/>
  <c r="DL128" i="12"/>
  <c r="DJ128" i="12"/>
  <c r="CZ158" i="12"/>
  <c r="CY158" i="12"/>
  <c r="DE158" i="12"/>
  <c r="DL108" i="12"/>
  <c r="DJ108" i="12"/>
  <c r="CZ22" i="12"/>
  <c r="CY22" i="12"/>
  <c r="DE22" i="12"/>
  <c r="DJ157" i="12"/>
  <c r="DL157" i="12"/>
  <c r="CZ98" i="12"/>
  <c r="DE98" i="12"/>
  <c r="CY98" i="12"/>
  <c r="CX44" i="12"/>
  <c r="CZ44" i="12"/>
  <c r="CY44" i="12"/>
  <c r="DE44" i="12"/>
  <c r="DL170" i="12"/>
  <c r="DJ170" i="12"/>
  <c r="CZ15" i="12"/>
  <c r="CY15" i="12"/>
  <c r="DE15" i="12"/>
  <c r="CX15" i="12"/>
  <c r="CY130" i="12"/>
  <c r="CZ130" i="12"/>
  <c r="DE130" i="12"/>
  <c r="CZ132" i="12"/>
  <c r="CY132" i="12"/>
  <c r="DE132" i="12"/>
  <c r="DL166" i="12"/>
  <c r="DJ166" i="12"/>
  <c r="DJ17" i="12"/>
  <c r="DL17" i="12"/>
  <c r="CX21" i="12"/>
  <c r="DE21" i="12"/>
  <c r="CZ21" i="12"/>
  <c r="CY21" i="12"/>
  <c r="CX35" i="12"/>
  <c r="CY35" i="12"/>
  <c r="DE35" i="12"/>
  <c r="CZ35" i="12"/>
  <c r="DJ87" i="12"/>
  <c r="DL87" i="12"/>
  <c r="G20" i="15"/>
  <c r="G22" i="15" s="1"/>
  <c r="DE198" i="12"/>
  <c r="DE203" i="12" s="1"/>
  <c r="DL147" i="12"/>
  <c r="DJ147" i="12"/>
  <c r="CY142" i="12"/>
  <c r="DE142" i="12"/>
  <c r="CZ142" i="12"/>
  <c r="DL154" i="12"/>
  <c r="DJ154" i="12"/>
  <c r="I37" i="23"/>
  <c r="L14" i="23"/>
  <c r="DO143" i="12"/>
  <c r="DP143" i="12"/>
  <c r="DJ198" i="12"/>
  <c r="DJ203" i="12" s="1"/>
  <c r="G70" i="23"/>
  <c r="G74" i="23" s="1"/>
  <c r="G78" i="23" s="1"/>
  <c r="E80" i="23"/>
  <c r="H53" i="23"/>
  <c r="DU58" i="12" l="1"/>
  <c r="DZ58" i="12" s="1"/>
  <c r="DO58" i="12"/>
  <c r="DP58" i="12"/>
  <c r="DN58" i="12"/>
  <c r="DL122" i="12"/>
  <c r="DJ122" i="12"/>
  <c r="DL59" i="12"/>
  <c r="DJ59" i="12"/>
  <c r="DP79" i="12"/>
  <c r="DO79" i="12"/>
  <c r="DU72" i="12"/>
  <c r="DZ72" i="12" s="1"/>
  <c r="DO72" i="12"/>
  <c r="DP72" i="12"/>
  <c r="DL78" i="12"/>
  <c r="DJ78" i="12"/>
  <c r="DJ139" i="12"/>
  <c r="DL139" i="12"/>
  <c r="DL167" i="12"/>
  <c r="DJ167" i="12"/>
  <c r="DP25" i="12"/>
  <c r="DU25" i="12"/>
  <c r="DZ25" i="12" s="1"/>
  <c r="DO25" i="12"/>
  <c r="DL109" i="12"/>
  <c r="DJ109" i="12"/>
  <c r="DL36" i="12"/>
  <c r="DJ36" i="12"/>
  <c r="DU83" i="12"/>
  <c r="DZ83" i="12" s="1"/>
  <c r="DO83" i="12"/>
  <c r="DP83" i="12"/>
  <c r="DP13" i="12"/>
  <c r="DN13" i="12"/>
  <c r="DO13" i="12"/>
  <c r="DU13" i="12"/>
  <c r="DZ13" i="12" s="1"/>
  <c r="DL182" i="12"/>
  <c r="DJ182" i="12"/>
  <c r="DJ171" i="12"/>
  <c r="DL171" i="12"/>
  <c r="DL40" i="12"/>
  <c r="DJ40" i="12"/>
  <c r="DP164" i="12"/>
  <c r="DU164" i="12"/>
  <c r="DZ164" i="12" s="1"/>
  <c r="DO164" i="12"/>
  <c r="DL27" i="12"/>
  <c r="DP63" i="12"/>
  <c r="DO63" i="12"/>
  <c r="DU63" i="12"/>
  <c r="DZ63" i="12" s="1"/>
  <c r="DL82" i="12"/>
  <c r="DJ82" i="12"/>
  <c r="DP85" i="12"/>
  <c r="DO85" i="12"/>
  <c r="DU85" i="12"/>
  <c r="DZ85" i="12" s="1"/>
  <c r="DP11" i="12"/>
  <c r="DU11" i="12"/>
  <c r="DZ11" i="12" s="1"/>
  <c r="DO11" i="12"/>
  <c r="DN11" i="12"/>
  <c r="DL163" i="12"/>
  <c r="DJ163" i="12"/>
  <c r="DP76" i="12"/>
  <c r="DU76" i="12"/>
  <c r="DZ76" i="12" s="1"/>
  <c r="DO76" i="12"/>
  <c r="DL174" i="12"/>
  <c r="DJ174" i="12"/>
  <c r="DU43" i="12"/>
  <c r="DZ43" i="12" s="1"/>
  <c r="DP43" i="12"/>
  <c r="DO43" i="12"/>
  <c r="DN43" i="12"/>
  <c r="DU114" i="12"/>
  <c r="DZ114" i="12" s="1"/>
  <c r="DP114" i="12"/>
  <c r="DO114" i="12"/>
  <c r="DP161" i="12"/>
  <c r="DU161" i="12"/>
  <c r="DZ161" i="12" s="1"/>
  <c r="DO161" i="12"/>
  <c r="DU120" i="12"/>
  <c r="DZ120" i="12" s="1"/>
  <c r="DO120" i="12"/>
  <c r="DP120" i="12"/>
  <c r="DU80" i="12"/>
  <c r="DZ80" i="12" s="1"/>
  <c r="DO80" i="12"/>
  <c r="DP80" i="12"/>
  <c r="DJ184" i="12"/>
  <c r="DL184" i="12"/>
  <c r="DN105" i="12"/>
  <c r="DO105" i="12"/>
  <c r="DU105" i="12"/>
  <c r="DZ105" i="12" s="1"/>
  <c r="DP105" i="12"/>
  <c r="DP165" i="12"/>
  <c r="DU165" i="12"/>
  <c r="DZ165" i="12" s="1"/>
  <c r="DO165" i="12"/>
  <c r="DN45" i="12"/>
  <c r="DO45" i="12"/>
  <c r="DP45" i="12"/>
  <c r="DU45" i="12"/>
  <c r="DZ45" i="12" s="1"/>
  <c r="DL30" i="12"/>
  <c r="DJ30" i="12"/>
  <c r="DL26" i="12"/>
  <c r="DJ26" i="12"/>
  <c r="DU183" i="12"/>
  <c r="DZ183" i="12" s="1"/>
  <c r="DO183" i="12"/>
  <c r="DP183" i="12"/>
  <c r="DL152" i="12"/>
  <c r="DJ152" i="12"/>
  <c r="DL24" i="12"/>
  <c r="DJ24" i="12"/>
  <c r="DJ12" i="12"/>
  <c r="DL12" i="12"/>
  <c r="DL48" i="12"/>
  <c r="DJ48" i="12"/>
  <c r="G10" i="15"/>
  <c r="CY205" i="12"/>
  <c r="O20" i="23"/>
  <c r="Q20" i="23" s="1"/>
  <c r="CX205" i="12"/>
  <c r="G9" i="15"/>
  <c r="H8" i="15" s="1"/>
  <c r="H14" i="15" s="1"/>
  <c r="H18" i="15" s="1"/>
  <c r="O19" i="23"/>
  <c r="Q19" i="23" s="1"/>
  <c r="DL148" i="12"/>
  <c r="DJ148" i="12"/>
  <c r="DO168" i="12"/>
  <c r="DP168" i="12"/>
  <c r="DU168" i="12"/>
  <c r="DZ168" i="12" s="1"/>
  <c r="F26" i="13"/>
  <c r="DO181" i="12"/>
  <c r="DU181" i="12"/>
  <c r="DZ181" i="12" s="1"/>
  <c r="DP181" i="12"/>
  <c r="DJ8" i="12"/>
  <c r="DL8" i="12"/>
  <c r="DU207" i="12"/>
  <c r="DJ6" i="12"/>
  <c r="DJ179" i="12" s="1"/>
  <c r="DJ186" i="12" s="1"/>
  <c r="DL6" i="12"/>
  <c r="DE179" i="12"/>
  <c r="DE186" i="12" s="1"/>
  <c r="DE205" i="12" s="1"/>
  <c r="DE208" i="12" s="1"/>
  <c r="DL14" i="12"/>
  <c r="DJ14" i="12"/>
  <c r="DP41" i="12"/>
  <c r="DO41" i="12"/>
  <c r="DU41" i="12"/>
  <c r="DZ41" i="12" s="1"/>
  <c r="DJ205" i="12"/>
  <c r="G11" i="15"/>
  <c r="CZ205" i="12"/>
  <c r="O21" i="23"/>
  <c r="Q21" i="23" s="1"/>
  <c r="G22" i="13"/>
  <c r="DL9" i="12"/>
  <c r="DJ9" i="12"/>
  <c r="DJ153" i="12"/>
  <c r="DL153" i="12"/>
  <c r="DJ7" i="12"/>
  <c r="DL7" i="12"/>
  <c r="DJ52" i="12"/>
  <c r="DL52" i="12"/>
  <c r="CV205" i="12"/>
  <c r="O18" i="23"/>
  <c r="CV206" i="12"/>
  <c r="DL33" i="12"/>
  <c r="DJ33" i="12"/>
  <c r="DJ53" i="12"/>
  <c r="DL53" i="12"/>
  <c r="DN17" i="12"/>
  <c r="DO17" i="12"/>
  <c r="DP17" i="12"/>
  <c r="DU17" i="12"/>
  <c r="DZ17" i="12" s="1"/>
  <c r="DL22" i="12"/>
  <c r="DJ22" i="12"/>
  <c r="DL158" i="12"/>
  <c r="DJ158" i="12"/>
  <c r="DU198" i="12"/>
  <c r="DU203" i="12" s="1"/>
  <c r="H20" i="15"/>
  <c r="DJ140" i="12"/>
  <c r="DL140" i="12"/>
  <c r="DP175" i="12"/>
  <c r="DO175" i="12"/>
  <c r="DU175" i="12"/>
  <c r="DZ175" i="12" s="1"/>
  <c r="DJ133" i="12"/>
  <c r="DL133" i="12"/>
  <c r="DL97" i="12"/>
  <c r="DJ97" i="12"/>
  <c r="DJ47" i="12"/>
  <c r="DL47" i="12"/>
  <c r="DP129" i="12"/>
  <c r="DU129" i="12"/>
  <c r="DZ129" i="12" s="1"/>
  <c r="DO129" i="12"/>
  <c r="DJ134" i="12"/>
  <c r="DL134" i="12"/>
  <c r="O10" i="23"/>
  <c r="DO151" i="12"/>
  <c r="DU151" i="12"/>
  <c r="DZ151" i="12" s="1"/>
  <c r="DP151" i="12"/>
  <c r="DU154" i="12"/>
  <c r="DZ154" i="12" s="1"/>
  <c r="DO154" i="12"/>
  <c r="DP154" i="12"/>
  <c r="DL142" i="12"/>
  <c r="DJ142" i="12"/>
  <c r="DL132" i="12"/>
  <c r="DJ132" i="12"/>
  <c r="DL35" i="12"/>
  <c r="DJ35" i="12"/>
  <c r="DL130" i="12"/>
  <c r="DJ130" i="12"/>
  <c r="DL15" i="12"/>
  <c r="DJ15" i="12"/>
  <c r="DP170" i="12"/>
  <c r="DU170" i="12"/>
  <c r="DZ170" i="12" s="1"/>
  <c r="DO170" i="12"/>
  <c r="DL44" i="12"/>
  <c r="DJ44" i="12"/>
  <c r="DL100" i="12"/>
  <c r="DJ100" i="12"/>
  <c r="DZ207" i="12"/>
  <c r="DL146" i="12"/>
  <c r="DJ146" i="12"/>
  <c r="DO155" i="12"/>
  <c r="DP155" i="12"/>
  <c r="DU155" i="12"/>
  <c r="DZ155" i="12" s="1"/>
  <c r="DJ149" i="12"/>
  <c r="DL149" i="12"/>
  <c r="DJ46" i="12"/>
  <c r="DL46" i="12"/>
  <c r="S8" i="23"/>
  <c r="DJ55" i="12"/>
  <c r="DL55" i="12"/>
  <c r="DP87" i="12"/>
  <c r="DU87" i="12"/>
  <c r="DZ87" i="12" s="1"/>
  <c r="DO87" i="12"/>
  <c r="DL21" i="12"/>
  <c r="DJ21" i="12"/>
  <c r="DL98" i="12"/>
  <c r="DJ98" i="12"/>
  <c r="DO157" i="12"/>
  <c r="DP157" i="12"/>
  <c r="DU157" i="12"/>
  <c r="DZ157" i="12" s="1"/>
  <c r="DO128" i="12"/>
  <c r="DU128" i="12"/>
  <c r="DZ128" i="12" s="1"/>
  <c r="DP128" i="12"/>
  <c r="S22" i="23"/>
  <c r="U22" i="23" s="1"/>
  <c r="DQ179" i="12"/>
  <c r="DJ150" i="12"/>
  <c r="DL150" i="12"/>
  <c r="DL96" i="12"/>
  <c r="DJ96" i="12"/>
  <c r="DO91" i="12"/>
  <c r="DU91" i="12"/>
  <c r="DZ91" i="12" s="1"/>
  <c r="DP91" i="12"/>
  <c r="DL29" i="12"/>
  <c r="DJ29" i="12"/>
  <c r="Q25" i="23"/>
  <c r="P27" i="23"/>
  <c r="P30" i="23" s="1"/>
  <c r="DJ89" i="12"/>
  <c r="DL89" i="12"/>
  <c r="DP117" i="12"/>
  <c r="DO117" i="12"/>
  <c r="DU117" i="12"/>
  <c r="DZ117" i="12" s="1"/>
  <c r="DO147" i="12"/>
  <c r="DP147" i="12"/>
  <c r="DU147" i="12"/>
  <c r="DZ147" i="12" s="1"/>
  <c r="DO166" i="12"/>
  <c r="DP166" i="12"/>
  <c r="DU166" i="12"/>
  <c r="DZ166" i="12" s="1"/>
  <c r="DP108" i="12"/>
  <c r="DO108" i="12"/>
  <c r="DU108" i="12"/>
  <c r="DZ108" i="12" s="1"/>
  <c r="DL110" i="12"/>
  <c r="DJ110" i="12"/>
  <c r="DV142" i="12"/>
  <c r="DJ50" i="12"/>
  <c r="DL50" i="12"/>
  <c r="DO127" i="12"/>
  <c r="DP127" i="12"/>
  <c r="DU127" i="12"/>
  <c r="DZ127" i="12" s="1"/>
  <c r="G12" i="15"/>
  <c r="O23" i="23"/>
  <c r="Q23" i="23" s="1"/>
  <c r="DA205" i="12"/>
  <c r="DL19" i="12"/>
  <c r="DJ19" i="12"/>
  <c r="DL131" i="12"/>
  <c r="DJ131" i="12"/>
  <c r="DF205" i="12"/>
  <c r="DP136" i="12"/>
  <c r="DO136" i="12"/>
  <c r="DU136" i="12"/>
  <c r="DZ136" i="12" s="1"/>
  <c r="DL138" i="12"/>
  <c r="DJ138" i="12"/>
  <c r="DU143" i="12"/>
  <c r="DZ143" i="12" s="1"/>
  <c r="L15" i="23"/>
  <c r="L31" i="23" s="1"/>
  <c r="M14" i="23"/>
  <c r="M15" i="23" s="1"/>
  <c r="M31" i="23" s="1"/>
  <c r="DZ197" i="12"/>
  <c r="DJ208" i="12"/>
  <c r="DJ210" i="12" s="1"/>
  <c r="I63" i="23"/>
  <c r="G73" i="23"/>
  <c r="I70" i="23"/>
  <c r="I73" i="23" s="1"/>
  <c r="I53" i="23"/>
  <c r="I54" i="23" s="1"/>
  <c r="I79" i="23" s="1"/>
  <c r="H54" i="23"/>
  <c r="H74" i="23" s="1"/>
  <c r="H22" i="15" l="1"/>
  <c r="DP122" i="12"/>
  <c r="DU122" i="12"/>
  <c r="DZ122" i="12" s="1"/>
  <c r="DO122" i="12"/>
  <c r="DU79" i="12"/>
  <c r="DZ79" i="12" s="1"/>
  <c r="DP59" i="12"/>
  <c r="DU59" i="12"/>
  <c r="DZ59" i="12" s="1"/>
  <c r="DO59" i="12"/>
  <c r="DN59" i="12"/>
  <c r="DP139" i="12"/>
  <c r="DU139" i="12"/>
  <c r="DZ139" i="12" s="1"/>
  <c r="DO139" i="12"/>
  <c r="DP167" i="12"/>
  <c r="DO167" i="12"/>
  <c r="DU167" i="12"/>
  <c r="DZ167" i="12" s="1"/>
  <c r="DP78" i="12"/>
  <c r="DO78" i="12"/>
  <c r="DU78" i="12"/>
  <c r="DZ78" i="12" s="1"/>
  <c r="DU109" i="12"/>
  <c r="DZ109" i="12" s="1"/>
  <c r="DO109" i="12"/>
  <c r="DP109" i="12"/>
  <c r="DP182" i="12"/>
  <c r="DO182" i="12"/>
  <c r="DU182" i="12"/>
  <c r="DZ182" i="12" s="1"/>
  <c r="DN36" i="12"/>
  <c r="DO36" i="12"/>
  <c r="DU36" i="12"/>
  <c r="DZ36" i="12" s="1"/>
  <c r="DP36" i="12"/>
  <c r="DU82" i="12"/>
  <c r="DZ82" i="12" s="1"/>
  <c r="DP82" i="12"/>
  <c r="DO82" i="12"/>
  <c r="DU27" i="12"/>
  <c r="DZ27" i="12" s="1"/>
  <c r="DN27" i="12"/>
  <c r="DP27" i="12"/>
  <c r="DO27" i="12"/>
  <c r="DU40" i="12"/>
  <c r="DZ40" i="12" s="1"/>
  <c r="DP40" i="12"/>
  <c r="DO40" i="12"/>
  <c r="DU174" i="12"/>
  <c r="DZ174" i="12" s="1"/>
  <c r="DO174" i="12"/>
  <c r="DP174" i="12"/>
  <c r="DU171" i="12"/>
  <c r="DZ171" i="12" s="1"/>
  <c r="DP171" i="12"/>
  <c r="DO171" i="12"/>
  <c r="DU163" i="12"/>
  <c r="DZ163" i="12" s="1"/>
  <c r="DO163" i="12"/>
  <c r="DP163" i="12"/>
  <c r="DU26" i="12"/>
  <c r="DZ26" i="12" s="1"/>
  <c r="DO26" i="12"/>
  <c r="DN26" i="12"/>
  <c r="DP26" i="12"/>
  <c r="DN30" i="12"/>
  <c r="DP30" i="12"/>
  <c r="DO30" i="12"/>
  <c r="DU30" i="12"/>
  <c r="DZ30" i="12" s="1"/>
  <c r="DP184" i="12"/>
  <c r="DO184" i="12"/>
  <c r="DU184" i="12"/>
  <c r="DZ184" i="12" s="1"/>
  <c r="DO24" i="12"/>
  <c r="DP24" i="12"/>
  <c r="DU24" i="12"/>
  <c r="DZ24" i="12" s="1"/>
  <c r="DU152" i="12"/>
  <c r="DZ152" i="12" s="1"/>
  <c r="DP152" i="12"/>
  <c r="DO152" i="12"/>
  <c r="DO33" i="12"/>
  <c r="DU33" i="12"/>
  <c r="DZ33" i="12" s="1"/>
  <c r="DN33" i="12"/>
  <c r="DP33" i="12"/>
  <c r="DP153" i="12"/>
  <c r="DO153" i="12"/>
  <c r="DU153" i="12"/>
  <c r="DZ153" i="12" s="1"/>
  <c r="G23" i="13"/>
  <c r="G24" i="13" s="1"/>
  <c r="G41" i="13"/>
  <c r="DP6" i="12"/>
  <c r="DP179" i="12" s="1"/>
  <c r="DN6" i="12"/>
  <c r="DN179" i="12" s="1"/>
  <c r="DN186" i="12" s="1"/>
  <c r="DU6" i="12"/>
  <c r="DO6" i="12"/>
  <c r="DO179" i="12" s="1"/>
  <c r="DO186" i="12" s="1"/>
  <c r="DL179" i="12"/>
  <c r="DL186" i="12" s="1"/>
  <c r="DU8" i="12"/>
  <c r="DZ8" i="12" s="1"/>
  <c r="DP8" i="12"/>
  <c r="DO8" i="12"/>
  <c r="DO48" i="12"/>
  <c r="DP48" i="12"/>
  <c r="DU48" i="12"/>
  <c r="DZ48" i="12" s="1"/>
  <c r="DP53" i="12"/>
  <c r="DO53" i="12"/>
  <c r="DU53" i="12"/>
  <c r="DZ53" i="12" s="1"/>
  <c r="DP52" i="12"/>
  <c r="DU52" i="12"/>
  <c r="DZ52" i="12" s="1"/>
  <c r="DO52" i="12"/>
  <c r="DO12" i="12"/>
  <c r="DN12" i="12"/>
  <c r="DP12" i="12"/>
  <c r="DU12" i="12"/>
  <c r="DZ12" i="12" s="1"/>
  <c r="O27" i="23"/>
  <c r="O30" i="23" s="1"/>
  <c r="Q18" i="23"/>
  <c r="Q27" i="23" s="1"/>
  <c r="Q30" i="23" s="1"/>
  <c r="DP7" i="12"/>
  <c r="DU7" i="12"/>
  <c r="DZ7" i="12" s="1"/>
  <c r="DO7" i="12"/>
  <c r="DP14" i="12"/>
  <c r="DU14" i="12"/>
  <c r="DZ14" i="12" s="1"/>
  <c r="DO14" i="12"/>
  <c r="DN14" i="12"/>
  <c r="DP148" i="12"/>
  <c r="DO148" i="12"/>
  <c r="DU148" i="12"/>
  <c r="DZ148" i="12" s="1"/>
  <c r="DO9" i="12"/>
  <c r="DP9" i="12"/>
  <c r="DU9" i="12"/>
  <c r="DZ9" i="12" s="1"/>
  <c r="G17" i="13"/>
  <c r="G19" i="13" s="1"/>
  <c r="G26" i="13" s="1"/>
  <c r="DO131" i="12"/>
  <c r="DP131" i="12"/>
  <c r="DU131" i="12"/>
  <c r="DZ131" i="12" s="1"/>
  <c r="DP19" i="12"/>
  <c r="DO19" i="12"/>
  <c r="DN19" i="12"/>
  <c r="DU19" i="12"/>
  <c r="DZ19" i="12" s="1"/>
  <c r="DP89" i="12"/>
  <c r="DO89" i="12"/>
  <c r="DU89" i="12"/>
  <c r="DZ89" i="12" s="1"/>
  <c r="DP98" i="12"/>
  <c r="DO98" i="12"/>
  <c r="DU98" i="12"/>
  <c r="DZ98" i="12" s="1"/>
  <c r="DP55" i="12"/>
  <c r="DO55" i="12"/>
  <c r="DU55" i="12"/>
  <c r="DZ55" i="12" s="1"/>
  <c r="DO100" i="12"/>
  <c r="DP100" i="12"/>
  <c r="DU100" i="12"/>
  <c r="DZ100" i="12" s="1"/>
  <c r="DP130" i="12"/>
  <c r="DO130" i="12"/>
  <c r="DU130" i="12"/>
  <c r="DZ130" i="12" s="1"/>
  <c r="DP142" i="12"/>
  <c r="DO142" i="12"/>
  <c r="DU142" i="12"/>
  <c r="DZ142" i="12" s="1"/>
  <c r="Q10" i="23"/>
  <c r="O34" i="23"/>
  <c r="Q36" i="23" s="1"/>
  <c r="O15" i="23"/>
  <c r="O31" i="23" s="1"/>
  <c r="DP22" i="12"/>
  <c r="DU22" i="12"/>
  <c r="DZ22" i="12" s="1"/>
  <c r="DO22" i="12"/>
  <c r="DP138" i="12"/>
  <c r="DU138" i="12"/>
  <c r="DZ138" i="12" s="1"/>
  <c r="DO138" i="12"/>
  <c r="DV179" i="12"/>
  <c r="DV186" i="12" s="1"/>
  <c r="T25" i="23"/>
  <c r="DN29" i="12"/>
  <c r="DO29" i="12"/>
  <c r="DP29" i="12"/>
  <c r="DU29" i="12"/>
  <c r="DZ29" i="12" s="1"/>
  <c r="DP46" i="12"/>
  <c r="DN46" i="12"/>
  <c r="DO46" i="12"/>
  <c r="DU46" i="12"/>
  <c r="DZ46" i="12" s="1"/>
  <c r="DO44" i="12"/>
  <c r="DN44" i="12"/>
  <c r="DU44" i="12"/>
  <c r="DZ44" i="12" s="1"/>
  <c r="DP44" i="12"/>
  <c r="DO134" i="12"/>
  <c r="DP134" i="12"/>
  <c r="DU134" i="12"/>
  <c r="DZ134" i="12" s="1"/>
  <c r="DP97" i="12"/>
  <c r="DO97" i="12"/>
  <c r="DU97" i="12"/>
  <c r="DZ97" i="12" s="1"/>
  <c r="DP96" i="12"/>
  <c r="DO96" i="12"/>
  <c r="DU96" i="12"/>
  <c r="DZ96" i="12" s="1"/>
  <c r="DP21" i="12"/>
  <c r="DN21" i="12"/>
  <c r="DU21" i="12"/>
  <c r="DZ21" i="12" s="1"/>
  <c r="DO21" i="12"/>
  <c r="U8" i="23"/>
  <c r="S10" i="23"/>
  <c r="DO146" i="12"/>
  <c r="DP146" i="12"/>
  <c r="DU146" i="12"/>
  <c r="DZ146" i="12" s="1"/>
  <c r="DP15" i="12"/>
  <c r="DN15" i="12"/>
  <c r="DO15" i="12"/>
  <c r="DU15" i="12"/>
  <c r="DZ15" i="12" s="1"/>
  <c r="DN35" i="12"/>
  <c r="DP35" i="12"/>
  <c r="DU35" i="12"/>
  <c r="DZ35" i="12" s="1"/>
  <c r="DO35" i="12"/>
  <c r="DO132" i="12"/>
  <c r="DP132" i="12"/>
  <c r="DU132" i="12"/>
  <c r="DZ132" i="12" s="1"/>
  <c r="DU47" i="12"/>
  <c r="DZ47" i="12" s="1"/>
  <c r="DP47" i="12"/>
  <c r="DO47" i="12"/>
  <c r="DO133" i="12"/>
  <c r="DP133" i="12"/>
  <c r="DU133" i="12"/>
  <c r="DZ133" i="12" s="1"/>
  <c r="DO158" i="12"/>
  <c r="DP158" i="12"/>
  <c r="DU158" i="12"/>
  <c r="DZ158" i="12" s="1"/>
  <c r="DP50" i="12"/>
  <c r="DO50" i="12"/>
  <c r="DU50" i="12"/>
  <c r="DZ50" i="12" s="1"/>
  <c r="DP110" i="12"/>
  <c r="DU110" i="12"/>
  <c r="DZ110" i="12" s="1"/>
  <c r="DO110" i="12"/>
  <c r="DP150" i="12"/>
  <c r="DO150" i="12"/>
  <c r="DU150" i="12"/>
  <c r="DZ150" i="12" s="1"/>
  <c r="DQ186" i="12"/>
  <c r="H12" i="15"/>
  <c r="DP149" i="12"/>
  <c r="DO149" i="12"/>
  <c r="DU149" i="12"/>
  <c r="DZ149" i="12" s="1"/>
  <c r="DO140" i="12"/>
  <c r="DP140" i="12"/>
  <c r="DU140" i="12"/>
  <c r="DZ140" i="12" s="1"/>
  <c r="DZ198" i="12"/>
  <c r="DZ203" i="12" s="1"/>
  <c r="P14" i="23"/>
  <c r="M37" i="23"/>
  <c r="M60" i="23"/>
  <c r="M57" i="23"/>
  <c r="I74" i="23"/>
  <c r="O35" i="23" l="1"/>
  <c r="DO205" i="12"/>
  <c r="H10" i="15"/>
  <c r="S20" i="23"/>
  <c r="U20" i="23" s="1"/>
  <c r="DZ6" i="12"/>
  <c r="DZ179" i="12" s="1"/>
  <c r="DZ186" i="12" s="1"/>
  <c r="DZ205" i="12" s="1"/>
  <c r="DZ208" i="12" s="1"/>
  <c r="DZ210" i="12" s="1"/>
  <c r="DU179" i="12"/>
  <c r="DU186" i="12" s="1"/>
  <c r="DN205" i="12"/>
  <c r="H9" i="15"/>
  <c r="S19" i="23"/>
  <c r="U19" i="23" s="1"/>
  <c r="S18" i="23"/>
  <c r="DL205" i="12"/>
  <c r="H11" i="15"/>
  <c r="DP186" i="12"/>
  <c r="S34" i="23"/>
  <c r="U36" i="23" s="1"/>
  <c r="U10" i="23"/>
  <c r="S15" i="23"/>
  <c r="T27" i="23"/>
  <c r="T30" i="23" s="1"/>
  <c r="U25" i="23"/>
  <c r="DV205" i="12"/>
  <c r="DQ205" i="12"/>
  <c r="S23" i="23"/>
  <c r="U23" i="23" s="1"/>
  <c r="P15" i="23"/>
  <c r="P31" i="23" s="1"/>
  <c r="Q14" i="23"/>
  <c r="Q15" i="23" s="1"/>
  <c r="Q31" i="23" s="1"/>
  <c r="M61" i="23"/>
  <c r="K61" i="23"/>
  <c r="L53" i="23"/>
  <c r="I80" i="23"/>
  <c r="S27" i="23" l="1"/>
  <c r="S30" i="23" s="1"/>
  <c r="U18" i="23"/>
  <c r="U27" i="23" s="1"/>
  <c r="U30" i="23" s="1"/>
  <c r="DP205" i="12"/>
  <c r="H22" i="13"/>
  <c r="S21" i="23"/>
  <c r="U21" i="23" s="1"/>
  <c r="H17" i="13"/>
  <c r="H19" i="13" s="1"/>
  <c r="DU205" i="12"/>
  <c r="DU208" i="12" s="1"/>
  <c r="T14" i="23"/>
  <c r="Q37" i="23"/>
  <c r="L54" i="23"/>
  <c r="L74" i="23" s="1"/>
  <c r="M53" i="23"/>
  <c r="M54" i="23" s="1"/>
  <c r="M79" i="23" s="1"/>
  <c r="S31" i="23" l="1"/>
  <c r="S35" i="23" s="1"/>
  <c r="H41" i="13"/>
  <c r="H23" i="13"/>
  <c r="H24" i="13" s="1"/>
  <c r="H26" i="13" s="1"/>
  <c r="U14" i="23"/>
  <c r="U15" i="23" s="1"/>
  <c r="U31" i="23" s="1"/>
  <c r="U37" i="23" s="1"/>
  <c r="T15" i="23"/>
  <c r="T31" i="23" s="1"/>
  <c r="M63" i="23"/>
  <c r="M62" i="23" l="1"/>
  <c r="K70" i="23"/>
  <c r="Q57" i="23" l="1"/>
  <c r="M70" i="23"/>
  <c r="K74" i="23"/>
  <c r="K78" i="23" s="1"/>
  <c r="K73" i="23"/>
  <c r="M73" i="23" l="1"/>
  <c r="M74" i="23"/>
  <c r="Q60" i="23" l="1"/>
  <c r="Q61" i="23" s="1"/>
  <c r="O61" i="23"/>
  <c r="M80" i="23"/>
  <c r="P53" i="23"/>
  <c r="Q63" i="23" l="1"/>
  <c r="P54" i="23"/>
  <c r="P74" i="23" s="1"/>
  <c r="Q53" i="23"/>
  <c r="Q54" i="23" s="1"/>
  <c r="Q79" i="23" s="1"/>
  <c r="U57" i="23" l="1"/>
  <c r="Q62" i="23"/>
  <c r="O70" i="23"/>
  <c r="O74" i="23" l="1"/>
  <c r="O78" i="23" s="1"/>
  <c r="O73" i="23"/>
  <c r="Q70" i="23"/>
  <c r="U60" i="23" l="1"/>
  <c r="U61" i="23" s="1"/>
  <c r="Q73" i="23"/>
  <c r="Q74" i="23"/>
  <c r="U62" i="23"/>
  <c r="S61" i="23" l="1"/>
  <c r="U63" i="23"/>
  <c r="Q80" i="23"/>
  <c r="T53" i="23"/>
  <c r="S70" i="23" l="1"/>
  <c r="S74" i="23" s="1"/>
  <c r="S78" i="23" s="1"/>
  <c r="V78" i="23" s="1"/>
  <c r="T54" i="23"/>
  <c r="T74" i="23" s="1"/>
  <c r="U53" i="23"/>
  <c r="U54" i="23" s="1"/>
  <c r="U79" i="23" s="1"/>
  <c r="U70" i="23" l="1"/>
  <c r="U73" i="23" s="1"/>
  <c r="S73" i="23"/>
  <c r="U74" i="23" l="1"/>
  <c r="U80" i="23" s="1"/>
</calcChain>
</file>

<file path=xl/comments1.xml><?xml version="1.0" encoding="utf-8"?>
<comments xmlns="http://schemas.openxmlformats.org/spreadsheetml/2006/main">
  <authors>
    <author>gjones</author>
  </authors>
  <commentList>
    <comment ref="AZ142" authorId="0">
      <text>
        <r>
          <rPr>
            <b/>
            <sz val="8"/>
            <color indexed="81"/>
            <rFont val="Tahoma"/>
            <family val="2"/>
          </rPr>
          <t>gjones:</t>
        </r>
        <r>
          <rPr>
            <sz val="8"/>
            <color indexed="81"/>
            <rFont val="Tahoma"/>
            <family val="2"/>
          </rPr>
          <t xml:space="preserve">
NR invests which are recurrent - balanced to agree to DD model
 </t>
        </r>
      </text>
    </comment>
  </commentList>
</comments>
</file>

<file path=xl/sharedStrings.xml><?xml version="1.0" encoding="utf-8"?>
<sst xmlns="http://schemas.openxmlformats.org/spreadsheetml/2006/main" count="2058" uniqueCount="735">
  <si>
    <t>TCode 1</t>
  </si>
  <si>
    <t>Dept Description</t>
  </si>
  <si>
    <t>Total</t>
  </si>
  <si>
    <t>Specialist Services Adjustment</t>
  </si>
  <si>
    <t>Redistribution of 2% Headroom</t>
  </si>
  <si>
    <t>PH (LA) Adjustment</t>
  </si>
  <si>
    <t>PH (CB) Prescribing</t>
  </si>
  <si>
    <t>3A00</t>
  </si>
  <si>
    <t>Estates department</t>
  </si>
  <si>
    <t>3A03</t>
  </si>
  <si>
    <t>Graylaw House</t>
  </si>
  <si>
    <t>3A16</t>
  </si>
  <si>
    <t>Heald green health</t>
  </si>
  <si>
    <t>3A28</t>
  </si>
  <si>
    <t>Woodley health centre</t>
  </si>
  <si>
    <t>3A34</t>
  </si>
  <si>
    <t>Regent House</t>
  </si>
  <si>
    <t>3A36</t>
  </si>
  <si>
    <t>Cherry Tree Hospital</t>
  </si>
  <si>
    <t>3A37</t>
  </si>
  <si>
    <t>St Thomas Hospital</t>
  </si>
  <si>
    <t>3A38</t>
  </si>
  <si>
    <t>LDRC Offerton</t>
  </si>
  <si>
    <t>3A39</t>
  </si>
  <si>
    <t>Adswood - New</t>
  </si>
  <si>
    <t>3A41</t>
  </si>
  <si>
    <t>Kennedy Way</t>
  </si>
  <si>
    <t>3A42</t>
  </si>
  <si>
    <t>Kingsgate</t>
  </si>
  <si>
    <t>3A43</t>
  </si>
  <si>
    <t>Beckwith House</t>
  </si>
  <si>
    <t>3A47</t>
  </si>
  <si>
    <t>St Petersgate</t>
  </si>
  <si>
    <t>3A48</t>
  </si>
  <si>
    <t>Astley Street Car Park</t>
  </si>
  <si>
    <t>3A49</t>
  </si>
  <si>
    <t>Astley Street Workshop</t>
  </si>
  <si>
    <t>7A50</t>
  </si>
  <si>
    <t>CNST</t>
  </si>
  <si>
    <t>A220</t>
  </si>
  <si>
    <t>Pharmacy Services/Products</t>
  </si>
  <si>
    <t>B022</t>
  </si>
  <si>
    <t>NHS Funded Nursing Care</t>
  </si>
  <si>
    <t>E020</t>
  </si>
  <si>
    <t>Finance-Financial Services</t>
  </si>
  <si>
    <t>E030</t>
  </si>
  <si>
    <t>Finance-Commissioning</t>
  </si>
  <si>
    <t>E240</t>
  </si>
  <si>
    <t>Human Resources Director</t>
  </si>
  <si>
    <t>E250</t>
  </si>
  <si>
    <t>Human Resources Operations</t>
  </si>
  <si>
    <t>F050</t>
  </si>
  <si>
    <t>Information Technology</t>
  </si>
  <si>
    <t>F060</t>
  </si>
  <si>
    <t>Information Services</t>
  </si>
  <si>
    <t>F070</t>
  </si>
  <si>
    <t>Patient Information Services</t>
  </si>
  <si>
    <t>H002</t>
  </si>
  <si>
    <t>Independent Sector</t>
  </si>
  <si>
    <t>H003</t>
  </si>
  <si>
    <t>Audiology</t>
  </si>
  <si>
    <t>H005</t>
  </si>
  <si>
    <t>AMD</t>
  </si>
  <si>
    <t>H007</t>
  </si>
  <si>
    <t>Care UK ISCATS</t>
  </si>
  <si>
    <t>H103</t>
  </si>
  <si>
    <t>Manchester Mental Hlth Partner</t>
  </si>
  <si>
    <t>H104</t>
  </si>
  <si>
    <t>Wrightington Trust</t>
  </si>
  <si>
    <t>H108</t>
  </si>
  <si>
    <t>South Manchester Univ. Trust</t>
  </si>
  <si>
    <t>H114</t>
  </si>
  <si>
    <t>Central Manchester Trust</t>
  </si>
  <si>
    <t>H116</t>
  </si>
  <si>
    <t>Christie Trust</t>
  </si>
  <si>
    <t>H124</t>
  </si>
  <si>
    <t>Salford Acute Trust</t>
  </si>
  <si>
    <t>H125</t>
  </si>
  <si>
    <t>Stockport PCT Provider</t>
  </si>
  <si>
    <t>H128</t>
  </si>
  <si>
    <t>H130</t>
  </si>
  <si>
    <t>Stockport NHS Trust</t>
  </si>
  <si>
    <t>H134</t>
  </si>
  <si>
    <t>Tameside Acute Trust</t>
  </si>
  <si>
    <t>H138</t>
  </si>
  <si>
    <t>Trafford Trust</t>
  </si>
  <si>
    <t>H141</t>
  </si>
  <si>
    <t>Cheshire &amp; Wirral Ptnrshp NHST</t>
  </si>
  <si>
    <t>H142</t>
  </si>
  <si>
    <t>East Cheshire NHS Trust</t>
  </si>
  <si>
    <t>H143</t>
  </si>
  <si>
    <t>Eastern Cheshire PCT</t>
  </si>
  <si>
    <t>H160</t>
  </si>
  <si>
    <t>St bartholomews (barts tests)</t>
  </si>
  <si>
    <t>H163</t>
  </si>
  <si>
    <t>SouthManchester Private Clinic</t>
  </si>
  <si>
    <t>H164</t>
  </si>
  <si>
    <t>Non-Contract Activity</t>
  </si>
  <si>
    <t>H166</t>
  </si>
  <si>
    <t>Pennine acute Trust</t>
  </si>
  <si>
    <t>H167</t>
  </si>
  <si>
    <t>H168</t>
  </si>
  <si>
    <t>Pennine care Trust</t>
  </si>
  <si>
    <t>H169</t>
  </si>
  <si>
    <t>Tameside &amp; Glossop PCT</t>
  </si>
  <si>
    <t>H185</t>
  </si>
  <si>
    <t>Stockport FT Overseas Visitors</t>
  </si>
  <si>
    <t>H188</t>
  </si>
  <si>
    <t>Salford Royal NHSFT-CLARHC</t>
  </si>
  <si>
    <t>H189</t>
  </si>
  <si>
    <t>Pennine Care Step Down Unit</t>
  </si>
  <si>
    <t>H190</t>
  </si>
  <si>
    <t>In House Services</t>
  </si>
  <si>
    <t>H201</t>
  </si>
  <si>
    <t>Safe &amp; Sustainable Funding</t>
  </si>
  <si>
    <t>H301</t>
  </si>
  <si>
    <t>GMCC Christies Hospital Trust</t>
  </si>
  <si>
    <t>H302</t>
  </si>
  <si>
    <t>GMCC Cardiac Services</t>
  </si>
  <si>
    <t>H307</t>
  </si>
  <si>
    <t>GMCC GMAS PES</t>
  </si>
  <si>
    <t>H308</t>
  </si>
  <si>
    <t>GMCC GMAS PTS</t>
  </si>
  <si>
    <t>H323</t>
  </si>
  <si>
    <t>GMCC Spec. Commissioning Admin</t>
  </si>
  <si>
    <t>H339</t>
  </si>
  <si>
    <t>GMCC SRH Complex Spines</t>
  </si>
  <si>
    <t>H343</t>
  </si>
  <si>
    <t>GMCC SMUHT Alimpta</t>
  </si>
  <si>
    <t>H345</t>
  </si>
  <si>
    <t>Making It Better</t>
  </si>
  <si>
    <t>H351</t>
  </si>
  <si>
    <t>East Lancs Resettlements Schem</t>
  </si>
  <si>
    <t>H367</t>
  </si>
  <si>
    <t>CBS Stroke Services</t>
  </si>
  <si>
    <t>H368</t>
  </si>
  <si>
    <t>CBS Cardiac Other Service</t>
  </si>
  <si>
    <t>H374</t>
  </si>
  <si>
    <t>CBS NWAS Air Ambulance</t>
  </si>
  <si>
    <t>H383</t>
  </si>
  <si>
    <t>CBS Stroke Fairfield</t>
  </si>
  <si>
    <t>H384</t>
  </si>
  <si>
    <t>CBS Stroke Stockport FT</t>
  </si>
  <si>
    <t>H999</t>
  </si>
  <si>
    <t>MFF</t>
  </si>
  <si>
    <t>K000</t>
  </si>
  <si>
    <t>Prescribing</t>
  </si>
  <si>
    <t>K010</t>
  </si>
  <si>
    <t>Centralised drugs bills</t>
  </si>
  <si>
    <t>K040</t>
  </si>
  <si>
    <t>Prescribed Funded Initiatives</t>
  </si>
  <si>
    <t>K051</t>
  </si>
  <si>
    <t>Pharmacists &amp; Appliance Contra</t>
  </si>
  <si>
    <t>LN03</t>
  </si>
  <si>
    <t>ISR Neurology Non Emergency</t>
  </si>
  <si>
    <t>LN09</t>
  </si>
  <si>
    <t>ISR Rehabilitation Non Emergen</t>
  </si>
  <si>
    <t>LN71</t>
  </si>
  <si>
    <t>ISR Child Mental Health</t>
  </si>
  <si>
    <t>LN72</t>
  </si>
  <si>
    <t>ISR Mental health Non Emergenc</t>
  </si>
  <si>
    <t>LN75</t>
  </si>
  <si>
    <t>ISR Dermatology Non Emergency</t>
  </si>
  <si>
    <t>LN96</t>
  </si>
  <si>
    <t>ISR Convalescence Non Emergenc</t>
  </si>
  <si>
    <t>LN98</t>
  </si>
  <si>
    <t>Atypical Vexatious Patient</t>
  </si>
  <si>
    <t>N100</t>
  </si>
  <si>
    <t>Age concern</t>
  </si>
  <si>
    <t>N150</t>
  </si>
  <si>
    <t>St ann's hospice</t>
  </si>
  <si>
    <t>N200</t>
  </si>
  <si>
    <t>Beechwood</t>
  </si>
  <si>
    <t>N300</t>
  </si>
  <si>
    <t>IAPT Stockport Womens Centre</t>
  </si>
  <si>
    <t>N301</t>
  </si>
  <si>
    <t>IAPT Self Help Services</t>
  </si>
  <si>
    <t>N302</t>
  </si>
  <si>
    <t>IAPT Stockport Mind</t>
  </si>
  <si>
    <t>N900</t>
  </si>
  <si>
    <t>Non core functions</t>
  </si>
  <si>
    <t>N910</t>
  </si>
  <si>
    <t>Complex Aids to Daily Living</t>
  </si>
  <si>
    <t>N961</t>
  </si>
  <si>
    <t>Intermediate Care</t>
  </si>
  <si>
    <t>N964</t>
  </si>
  <si>
    <t>Funded nursing care</t>
  </si>
  <si>
    <t>N965</t>
  </si>
  <si>
    <t>Winter Pressure</t>
  </si>
  <si>
    <t>N967</t>
  </si>
  <si>
    <t>Capacity budget</t>
  </si>
  <si>
    <t>N968</t>
  </si>
  <si>
    <t>Older People Services</t>
  </si>
  <si>
    <t>N969</t>
  </si>
  <si>
    <t>Reablement</t>
  </si>
  <si>
    <t>N971</t>
  </si>
  <si>
    <t>Mental Health Section 75</t>
  </si>
  <si>
    <t>N975</t>
  </si>
  <si>
    <t>Blue badges</t>
  </si>
  <si>
    <t>O200</t>
  </si>
  <si>
    <t>Voluntary donations</t>
  </si>
  <si>
    <t>O225</t>
  </si>
  <si>
    <t>Non-NHS contracts</t>
  </si>
  <si>
    <t>O305</t>
  </si>
  <si>
    <t>Palliative care -  Children</t>
  </si>
  <si>
    <t>O531</t>
  </si>
  <si>
    <t>Childcare Strategy</t>
  </si>
  <si>
    <t>O550</t>
  </si>
  <si>
    <t>Mental health Commissioned</t>
  </si>
  <si>
    <t>O570</t>
  </si>
  <si>
    <t>CAMHS Developments</t>
  </si>
  <si>
    <t>O650</t>
  </si>
  <si>
    <t>Clinical audit</t>
  </si>
  <si>
    <t>O700</t>
  </si>
  <si>
    <t>Residual capital charges</t>
  </si>
  <si>
    <t>O801</t>
  </si>
  <si>
    <t>Patient Med Equip Maint</t>
  </si>
  <si>
    <t>O812</t>
  </si>
  <si>
    <t>Diagnostics</t>
  </si>
  <si>
    <t>O820</t>
  </si>
  <si>
    <t>Tier 2 cataract screening</t>
  </si>
  <si>
    <t>O825</t>
  </si>
  <si>
    <t>GM critical care network</t>
  </si>
  <si>
    <t>O826</t>
  </si>
  <si>
    <t>Tier 2-H Pylori</t>
  </si>
  <si>
    <t>O832</t>
  </si>
  <si>
    <t>Heart Failure-Direct Access</t>
  </si>
  <si>
    <t>O833</t>
  </si>
  <si>
    <t>Charter Medical Contract</t>
  </si>
  <si>
    <t>O836</t>
  </si>
  <si>
    <t>T2-Vasectomies</t>
  </si>
  <si>
    <t>O860</t>
  </si>
  <si>
    <t>Referral Booking Mgmnt Service</t>
  </si>
  <si>
    <t>O925</t>
  </si>
  <si>
    <t>Himp development</t>
  </si>
  <si>
    <t>O940</t>
  </si>
  <si>
    <t>Local development schemes</t>
  </si>
  <si>
    <t>O950</t>
  </si>
  <si>
    <t>Primary care dev projects</t>
  </si>
  <si>
    <t>O951</t>
  </si>
  <si>
    <t>Dental Developments</t>
  </si>
  <si>
    <t>P100</t>
  </si>
  <si>
    <t>Continuing care &amp; equipment</t>
  </si>
  <si>
    <t>P105</t>
  </si>
  <si>
    <t>CHC Assessment Beds</t>
  </si>
  <si>
    <t>P125</t>
  </si>
  <si>
    <t>Continuing care children</t>
  </si>
  <si>
    <t>P160</t>
  </si>
  <si>
    <t>Stockport Learning Disability</t>
  </si>
  <si>
    <t>R050</t>
  </si>
  <si>
    <t>Allocation Growth in Year</t>
  </si>
  <si>
    <t>R135</t>
  </si>
  <si>
    <t>R610</t>
  </si>
  <si>
    <t>Financial Stability Reserve</t>
  </si>
  <si>
    <t>R998</t>
  </si>
  <si>
    <t>Contingency Reserve</t>
  </si>
  <si>
    <t>S000</t>
  </si>
  <si>
    <t>U141</t>
  </si>
  <si>
    <t>Marple &amp; Werneth Locality</t>
  </si>
  <si>
    <t>U144</t>
  </si>
  <si>
    <t>Heatons &amp; Tame Valley Locality</t>
  </si>
  <si>
    <t>W150</t>
  </si>
  <si>
    <t>W300</t>
  </si>
  <si>
    <t>Out of hours</t>
  </si>
  <si>
    <t>W500</t>
  </si>
  <si>
    <t>Wellspring GP Services</t>
  </si>
  <si>
    <t>Crossover with PH Running Costs</t>
  </si>
  <si>
    <t>Variance between Return &amp; Backup</t>
  </si>
  <si>
    <t>Variance between indicative baseline &amp; backup (NWSCOG)</t>
  </si>
  <si>
    <t>CCG Running Costs (Included)</t>
  </si>
  <si>
    <t>CCG Running Costs (Excluded)</t>
  </si>
  <si>
    <t>CSS SLA (Included)</t>
  </si>
  <si>
    <t>CSS SLA (Excluded)</t>
  </si>
  <si>
    <t>CSS Reserve (not in SLA)</t>
  </si>
  <si>
    <t>CCG Allocation</t>
  </si>
  <si>
    <t>Running Costs Allocation 287,261 population * £25/head</t>
  </si>
  <si>
    <t>*£25/head (rounded down)</t>
  </si>
  <si>
    <t>2% Recurrent Surplus</t>
  </si>
  <si>
    <t>Inflation Category</t>
  </si>
  <si>
    <t>Inflation 13/14</t>
  </si>
  <si>
    <t>SFT Tariff Mix Adjustment</t>
  </si>
  <si>
    <t>Demand Growth</t>
  </si>
  <si>
    <t>Tariff</t>
  </si>
  <si>
    <t>LSA Midwifery</t>
  </si>
  <si>
    <t>IT</t>
  </si>
  <si>
    <t>C-Diff</t>
  </si>
  <si>
    <t>AQUA</t>
  </si>
  <si>
    <t>Contingency</t>
  </si>
  <si>
    <t>CIP</t>
  </si>
  <si>
    <t>QiPP Activity Management</t>
  </si>
  <si>
    <t>Non Tariff/ Other</t>
  </si>
  <si>
    <t>Zero uplift</t>
  </si>
  <si>
    <t>CCG Running Costs</t>
  </si>
  <si>
    <t>Running costs per Baseline Exercise</t>
  </si>
  <si>
    <t>13/14 Opening Baseline</t>
  </si>
  <si>
    <t>QiPP 4% Trust Efficiency</t>
  </si>
  <si>
    <t>Remove 12/13 CQuiN</t>
  </si>
  <si>
    <t>Add 13/14 CQuiN</t>
  </si>
  <si>
    <t>Spend Control</t>
  </si>
  <si>
    <t>Recurrent Funding</t>
  </si>
  <si>
    <t>1% to be spent non recurrently</t>
  </si>
  <si>
    <t>Post M 8 Pressures/Savings</t>
  </si>
  <si>
    <t>13/14 Budgetted Surplus/(Deficit)</t>
  </si>
  <si>
    <t>Reserves movement since Mth 3</t>
  </si>
  <si>
    <t>Estates</t>
  </si>
  <si>
    <t>Reserves adjusts Mth 9</t>
  </si>
  <si>
    <t>Local Investments</t>
  </si>
  <si>
    <t>13/14 Recurrent</t>
  </si>
  <si>
    <t>National Topslices</t>
  </si>
  <si>
    <t>GM Level Invests</t>
  </si>
  <si>
    <t>Local Invests</t>
  </si>
  <si>
    <t>13/14 Total Budget</t>
  </si>
  <si>
    <t>z</t>
  </si>
  <si>
    <t>Virement 1</t>
  </si>
  <si>
    <t>Tariff Mix Adjustment</t>
  </si>
  <si>
    <t>13/14 Revised Baseline</t>
  </si>
  <si>
    <t>Greater Manchester West Mental Health Partnership</t>
  </si>
  <si>
    <t>H130 (B)</t>
  </si>
  <si>
    <t>MC Virement of Fin Posn</t>
  </si>
  <si>
    <t>Risk Share</t>
  </si>
  <si>
    <t>H302 (CMFT)</t>
  </si>
  <si>
    <t>H302 (PAT)</t>
  </si>
  <si>
    <t>H302 (SFT)</t>
  </si>
  <si>
    <t>H302 (WWL)</t>
  </si>
  <si>
    <t>H302 (OTHER)</t>
  </si>
  <si>
    <t>GMCC Cardiac Services (UHSM)</t>
  </si>
  <si>
    <t>Combine</t>
  </si>
  <si>
    <t>Pennine Acute</t>
  </si>
  <si>
    <t>UHSM</t>
  </si>
  <si>
    <t>Christie</t>
  </si>
  <si>
    <t>SRFT</t>
  </si>
  <si>
    <t>CMFT</t>
  </si>
  <si>
    <t>SFT</t>
  </si>
  <si>
    <t>WWL</t>
  </si>
  <si>
    <t>TGH</t>
  </si>
  <si>
    <t>H164 (a)</t>
  </si>
  <si>
    <t>Cancer Drugs Fund</t>
  </si>
  <si>
    <t>Threshold to AT</t>
  </si>
  <si>
    <t>OATS</t>
  </si>
  <si>
    <t xml:space="preserve">Neonatal </t>
  </si>
  <si>
    <t>LES</t>
  </si>
  <si>
    <t>LD</t>
  </si>
  <si>
    <t>Other</t>
  </si>
  <si>
    <t>Community CMFT</t>
  </si>
  <si>
    <t>Community UHSM</t>
  </si>
  <si>
    <t>Community PAT</t>
  </si>
  <si>
    <t>Community MMHT</t>
  </si>
  <si>
    <t>Virement</t>
  </si>
  <si>
    <t>Cardiac</t>
  </si>
  <si>
    <t>R999</t>
  </si>
  <si>
    <t>CQUIN to 85%</t>
  </si>
  <si>
    <t>NCAs</t>
  </si>
  <si>
    <t>East Cheshire</t>
  </si>
  <si>
    <t>Reclassification of CHC Team/NPfIT</t>
  </si>
  <si>
    <t>NR allocs - Prior Yr Surplus + Lodgements</t>
  </si>
  <si>
    <t>Spec Comm Risk Reserve</t>
  </si>
  <si>
    <t>R136</t>
  </si>
  <si>
    <t>Spec Risk Reserve</t>
  </si>
  <si>
    <t>Planning Adjust</t>
  </si>
  <si>
    <t>R999a</t>
  </si>
  <si>
    <t>Risk Reserve</t>
  </si>
  <si>
    <t>PCT Target Saving (Demand Growth)</t>
  </si>
  <si>
    <t>R135a</t>
  </si>
  <si>
    <t>PCT CIP Target (excl Presc)</t>
  </si>
  <si>
    <t>NHSE Notification 8/5/13</t>
  </si>
  <si>
    <t>Pms preparatory costs (LES)</t>
  </si>
  <si>
    <t>PMS/GMS (LES)</t>
  </si>
  <si>
    <t>Hosp</t>
  </si>
  <si>
    <t>Out</t>
  </si>
  <si>
    <t>y</t>
  </si>
  <si>
    <t>a</t>
  </si>
  <si>
    <t>Homecare</t>
  </si>
  <si>
    <t>CHC/FNC</t>
  </si>
  <si>
    <t>Non NHS Provs</t>
  </si>
  <si>
    <t>Other NHS Provs</t>
  </si>
  <si>
    <t>SFT - Community</t>
  </si>
  <si>
    <t>Other FT Community</t>
  </si>
  <si>
    <t>SFT Acute</t>
  </si>
  <si>
    <t>Pennine</t>
  </si>
  <si>
    <t>Presc</t>
  </si>
  <si>
    <t>Non NHS Community</t>
  </si>
  <si>
    <t>Running costs</t>
  </si>
  <si>
    <t>CHC Excluded</t>
  </si>
  <si>
    <t>14/15 Recurrent</t>
  </si>
  <si>
    <t>Add CQuIN</t>
  </si>
  <si>
    <t>Revised Open Rec 14/15</t>
  </si>
  <si>
    <t>RECURRENT</t>
  </si>
  <si>
    <t>NON RECURRENT</t>
  </si>
  <si>
    <t>IN_YEAR</t>
  </si>
  <si>
    <t>14/15 Total Budget</t>
  </si>
  <si>
    <t>15/16 Recurrent</t>
  </si>
  <si>
    <t>Revised Open Rec 15/16</t>
  </si>
  <si>
    <t>15/16 Total Budget</t>
  </si>
  <si>
    <t>16/17 Recurrent</t>
  </si>
  <si>
    <t>Revised Open Rec 16/17</t>
  </si>
  <si>
    <t>16/17 Total Budget</t>
  </si>
  <si>
    <t>17/18 Recurrent</t>
  </si>
  <si>
    <t>Revised Open Rec 17/18</t>
  </si>
  <si>
    <t>17/18 Total Budget</t>
  </si>
  <si>
    <t>Inflation</t>
  </si>
  <si>
    <t>Demand</t>
  </si>
  <si>
    <t>Demand QiPP</t>
  </si>
  <si>
    <t>Investments &amp; Contingency</t>
  </si>
  <si>
    <t>14/15</t>
  </si>
  <si>
    <t>15/16</t>
  </si>
  <si>
    <t>16/17</t>
  </si>
  <si>
    <t>17/18</t>
  </si>
  <si>
    <t>QiPP tariff deflator</t>
  </si>
  <si>
    <t>Annual Uplift</t>
  </si>
  <si>
    <t>Target</t>
  </si>
  <si>
    <t>GAP (before any investments)</t>
  </si>
  <si>
    <t>13/14 Rec press</t>
  </si>
  <si>
    <t>14/15 Rec press</t>
  </si>
  <si>
    <t>15/16 Rec press</t>
  </si>
  <si>
    <t>16/17 Rec press</t>
  </si>
  <si>
    <t>Rec spend b/fwd</t>
  </si>
  <si>
    <t>Rec alloc</t>
  </si>
  <si>
    <t>DD</t>
  </si>
  <si>
    <t>£</t>
  </si>
  <si>
    <t>Funding</t>
  </si>
  <si>
    <t>In-Year QuiPP gap if prev years o/spds not recovered</t>
  </si>
  <si>
    <t>Int Care in/out scope</t>
  </si>
  <si>
    <t>Expenditure</t>
  </si>
  <si>
    <t>outscope</t>
  </si>
  <si>
    <t>inscope</t>
  </si>
  <si>
    <t>TBA</t>
  </si>
  <si>
    <t>outside</t>
  </si>
  <si>
    <t>Deloittes</t>
  </si>
  <si>
    <t>Acute</t>
  </si>
  <si>
    <t>Mental Health</t>
  </si>
  <si>
    <t xml:space="preserve">Community Health </t>
  </si>
  <si>
    <t>Continuing Care</t>
  </si>
  <si>
    <t>Prim Care non presc</t>
  </si>
  <si>
    <t>Corporate</t>
  </si>
  <si>
    <t>a1</t>
  </si>
  <si>
    <t>a2</t>
  </si>
  <si>
    <t>a3</t>
  </si>
  <si>
    <t>a4</t>
  </si>
  <si>
    <t>a5</t>
  </si>
  <si>
    <t>TOTAL FUNDING</t>
  </si>
  <si>
    <t>TOTAL EXPENDITURE</t>
  </si>
  <si>
    <t xml:space="preserve">Community - NHS </t>
  </si>
  <si>
    <t>ITF - existing</t>
  </si>
  <si>
    <t>NHS call</t>
  </si>
  <si>
    <t>CSR Tfr</t>
  </si>
  <si>
    <t>Pressure</t>
  </si>
  <si>
    <t>18/19 Recurrent</t>
  </si>
  <si>
    <t>17/18 Rec press</t>
  </si>
  <si>
    <t>a6</t>
  </si>
  <si>
    <t>18/19 Total Budget</t>
  </si>
  <si>
    <t>Revised Open Rec 18/19</t>
  </si>
  <si>
    <t>CSR transfer</t>
  </si>
  <si>
    <t>Rec</t>
  </si>
  <si>
    <t>NR</t>
  </si>
  <si>
    <t>Total QiPP / CIP</t>
  </si>
  <si>
    <t>18/19</t>
  </si>
  <si>
    <t>Activity (NHS)</t>
  </si>
  <si>
    <t>Mental Health (NHS)</t>
  </si>
  <si>
    <t>Community NHS</t>
  </si>
  <si>
    <t>Community Non NHS</t>
  </si>
  <si>
    <t>Primary Care</t>
  </si>
  <si>
    <t>Recurrent Position</t>
  </si>
  <si>
    <t>Recurrent B.fwd</t>
  </si>
  <si>
    <t>CSR</t>
  </si>
  <si>
    <t>Spend</t>
  </si>
  <si>
    <t>QiPP / CIP</t>
  </si>
  <si>
    <t>Cash</t>
  </si>
  <si>
    <t>Demand Man</t>
  </si>
  <si>
    <t>Total Funding</t>
  </si>
  <si>
    <t>Total Spend</t>
  </si>
  <si>
    <t>£m</t>
  </si>
  <si>
    <t>2% Savings Target</t>
  </si>
  <si>
    <t>Planned Target</t>
  </si>
  <si>
    <t>A</t>
  </si>
  <si>
    <t>B</t>
  </si>
  <si>
    <t>C</t>
  </si>
  <si>
    <t>D</t>
  </si>
  <si>
    <t>Integrated Care Model</t>
  </si>
  <si>
    <t xml:space="preserve">100% cost &amp; savings approach </t>
  </si>
  <si>
    <t>Recurrent Position - SCCG only</t>
  </si>
  <si>
    <t>Identified Savings</t>
  </si>
  <si>
    <t>Decommission services</t>
  </si>
  <si>
    <t>Recommissioning of Locality Hub</t>
  </si>
  <si>
    <t>Net Impact</t>
  </si>
  <si>
    <t>Net target CCG QiPP / CIP</t>
  </si>
  <si>
    <t>Slide showing spend in service sectors 13/14</t>
  </si>
  <si>
    <t>Community &amp; Other</t>
  </si>
  <si>
    <t>CHC &amp; FNC</t>
  </si>
  <si>
    <t>Primary</t>
  </si>
  <si>
    <t xml:space="preserve">Total </t>
  </si>
  <si>
    <t>Growth in real terms health spending</t>
  </si>
  <si>
    <t>NHS History 1948-2011</t>
  </si>
  <si>
    <t>Last Labour Govt 1997-2010</t>
  </si>
  <si>
    <t>Tightest 4 years 1975-1979</t>
  </si>
  <si>
    <t>Last Con Govt 1979-1997</t>
  </si>
  <si>
    <t>Projected 2011-2015</t>
  </si>
  <si>
    <t>Cash savings</t>
  </si>
  <si>
    <t>Summary 5 Year Projection 14/15 to 18/19</t>
  </si>
  <si>
    <t>Notes:</t>
  </si>
  <si>
    <t>Growth (n/a to running costs)</t>
  </si>
  <si>
    <t>Includes inflation at differential levels across all budgets</t>
  </si>
  <si>
    <t>includes demand at differential levels across some budgets</t>
  </si>
  <si>
    <t>QiPP / CIP (Scale of financial Challenge)</t>
  </si>
  <si>
    <t xml:space="preserve">Assumes no change in funding formula </t>
  </si>
  <si>
    <t>CQuIN</t>
  </si>
  <si>
    <t>Recurrent Budget</t>
  </si>
  <si>
    <t>Net Spend</t>
  </si>
  <si>
    <t>Allocation</t>
  </si>
  <si>
    <t>2% surplus</t>
  </si>
  <si>
    <t>New invests ?</t>
  </si>
  <si>
    <t>Planned Recurrent Spend 2013/14</t>
  </si>
  <si>
    <t>Intentions - recurrent 2018/19</t>
  </si>
  <si>
    <t>Demand Category</t>
  </si>
  <si>
    <t>Overheads / Other</t>
  </si>
  <si>
    <t>CHC</t>
  </si>
  <si>
    <t>Call to Action Fund</t>
  </si>
  <si>
    <t>Running Costs</t>
  </si>
  <si>
    <t>ITF</t>
  </si>
  <si>
    <t>Community Health</t>
  </si>
  <si>
    <t>IM&amp;T</t>
  </si>
  <si>
    <t>Growth</t>
  </si>
  <si>
    <t>Pay Awards</t>
  </si>
  <si>
    <t>Recurrent</t>
  </si>
  <si>
    <t>2014-15</t>
  </si>
  <si>
    <t>2015-16</t>
  </si>
  <si>
    <t>2016-17</t>
  </si>
  <si>
    <t>2017-18</t>
  </si>
  <si>
    <t>2018-19</t>
  </si>
  <si>
    <t>Opening expenditure</t>
  </si>
  <si>
    <t>Prior year allocation</t>
  </si>
  <si>
    <t>2% recurrent surplus</t>
  </si>
  <si>
    <t>1% non-recurrent surplus</t>
  </si>
  <si>
    <t>Primary Care Services</t>
  </si>
  <si>
    <t>Community Health NHS Providers</t>
  </si>
  <si>
    <t>Strategic Reserve</t>
  </si>
  <si>
    <t>Better Care Fund</t>
  </si>
  <si>
    <t>In Year</t>
  </si>
  <si>
    <t>Sub-Total</t>
  </si>
  <si>
    <t>Non-recurrent investment</t>
  </si>
  <si>
    <t>Call to Action fund</t>
  </si>
  <si>
    <t>Total Expenditure</t>
  </si>
  <si>
    <t>£'000</t>
  </si>
  <si>
    <t>PCT format</t>
  </si>
  <si>
    <t>£'000s</t>
  </si>
  <si>
    <t>BCF transfer to SMBC</t>
  </si>
  <si>
    <t>BCF allocation (Social Care)</t>
  </si>
  <si>
    <t>Prior year surplus (deficit)</t>
  </si>
  <si>
    <t>Total Funding                          (A)</t>
  </si>
  <si>
    <t>Current year CQuiN</t>
  </si>
  <si>
    <t>Contingency (1%)</t>
  </si>
  <si>
    <t>BCF costs transferred</t>
  </si>
  <si>
    <t>Recurrent investments</t>
  </si>
  <si>
    <t>CIP Requirement</t>
  </si>
  <si>
    <t>Net Expenditure                       (B)</t>
  </si>
  <si>
    <t>Budget (surplus) / deficit [A-B]</t>
  </si>
  <si>
    <t>Planned Targets</t>
  </si>
  <si>
    <t>Recurrent CIP - control</t>
  </si>
  <si>
    <t>Non-recurrent CIP control</t>
  </si>
  <si>
    <t>Do Nothing</t>
  </si>
  <si>
    <t>Prior year (surplus) / deficit</t>
  </si>
  <si>
    <t>Total Funding                         (A)</t>
  </si>
  <si>
    <t>Net Expenditure                   (B)</t>
  </si>
  <si>
    <t>Carers transfer (in other budgets)</t>
  </si>
  <si>
    <t xml:space="preserve">BCF - Additional Primary Care </t>
  </si>
  <si>
    <t>BCF - Enhanced Primary Care</t>
  </si>
  <si>
    <t>BCF - Saffron Ward</t>
  </si>
  <si>
    <t>%</t>
  </si>
  <si>
    <t>Baseline Spend (£m)</t>
  </si>
  <si>
    <t>Area</t>
  </si>
  <si>
    <t>Note</t>
  </si>
  <si>
    <t xml:space="preserve">Reform </t>
  </si>
  <si>
    <t xml:space="preserve">Hypertension </t>
  </si>
  <si>
    <t>No real plan for this yet</t>
  </si>
  <si>
    <t>GP £5 per head</t>
  </si>
  <si>
    <t>£5 additional must do, Ranjit promised more so assumed further £5</t>
  </si>
  <si>
    <t>GP Enhanced</t>
  </si>
  <si>
    <t xml:space="preserve">Existing moved to reccurent </t>
  </si>
  <si>
    <t>Existing non-recurrent service</t>
  </si>
  <si>
    <t xml:space="preserve">Rapid Response and intermediate Care </t>
  </si>
  <si>
    <t>Falls Service</t>
  </si>
  <si>
    <t>Unlikley to be procured until latter part of year</t>
  </si>
  <si>
    <t>Service Quality</t>
  </si>
  <si>
    <t>IAPT expansion (Parity of esteem)</t>
  </si>
  <si>
    <t xml:space="preserve">Current 9% required 15% minimum and then further expansion </t>
  </si>
  <si>
    <t>RAID   (Parity of esteem)</t>
  </si>
  <si>
    <t xml:space="preserve">Current funding ends soon </t>
  </si>
  <si>
    <t>GSF Demerntia Pathway (Parity of esteem)</t>
  </si>
  <si>
    <t xml:space="preserve">Possibly part of Reform </t>
  </si>
  <si>
    <t>Epilepsy Pathway</t>
  </si>
  <si>
    <t>NHS E Weight Mgt Thresholds</t>
  </si>
  <si>
    <t xml:space="preserve">Two Year Total </t>
  </si>
  <si>
    <t>13/14 Category</t>
  </si>
  <si>
    <t>14/15 Category</t>
  </si>
  <si>
    <t>R</t>
  </si>
  <si>
    <t>GP Referral Management</t>
  </si>
  <si>
    <t>Follow Up Reform</t>
  </si>
  <si>
    <t>IVF Three Cycles</t>
  </si>
  <si>
    <t>2014/15</t>
  </si>
  <si>
    <t>2015/16</t>
  </si>
  <si>
    <t>Non-recurrent Investment</t>
  </si>
  <si>
    <t>Pre-commitments</t>
  </si>
  <si>
    <t>2013/14 Budget</t>
  </si>
  <si>
    <t>GP Investment</t>
  </si>
  <si>
    <t>Other Reform</t>
  </si>
  <si>
    <t>13/14 Over/(Under) Performance</t>
  </si>
  <si>
    <t>Total Reform Investment</t>
  </si>
  <si>
    <t>Total Service Quality Investment</t>
  </si>
  <si>
    <t>Total Pre-Commitments</t>
  </si>
  <si>
    <t>13/14 Pressures</t>
  </si>
  <si>
    <t>Strategic / Innovation Reserve</t>
  </si>
  <si>
    <t>Patient Education Expansion</t>
  </si>
  <si>
    <t>Integrated Care</t>
  </si>
  <si>
    <t>Adult ASD / ADHD / CAMHS (0 to 25)</t>
  </si>
  <si>
    <t>New Recurrent Investment</t>
  </si>
  <si>
    <t>Better Care Fund Rapid Response Contribution</t>
  </si>
  <si>
    <t>GP £5 per Head</t>
  </si>
  <si>
    <t>BCF contribution</t>
  </si>
  <si>
    <t>Recurrent commitments</t>
  </si>
  <si>
    <t>Prior year pressures</t>
  </si>
  <si>
    <t>IAT Effects</t>
  </si>
  <si>
    <t>OPERATIONAL PLAN</t>
  </si>
  <si>
    <t>STRATEGIC OUTLOOK</t>
  </si>
  <si>
    <t>High Level Summary of 2 Year Operational Plan and 3 Year outlook</t>
  </si>
  <si>
    <t>APPENDIX 1</t>
  </si>
  <si>
    <t>(Over) / under target level</t>
  </si>
  <si>
    <t>Pressures &amp; Precommits</t>
  </si>
  <si>
    <t>Planned (Surplus) / Deficit - %</t>
  </si>
  <si>
    <t>Planned (Surplus) / Deficit - £</t>
  </si>
  <si>
    <t>CCG Allocation - Planned</t>
  </si>
  <si>
    <t>CCG Allocations - anticipated</t>
  </si>
  <si>
    <t>CCG Allocations - notified</t>
  </si>
  <si>
    <t>Total Commissioning Budgets</t>
  </si>
  <si>
    <t>Sub-total savings &amp; Efficiency</t>
  </si>
  <si>
    <t>CIP - Earmarked Presc</t>
  </si>
  <si>
    <t>CIP - Activity scoped</t>
  </si>
  <si>
    <t>QiPP - Avoided Growth (Demand)</t>
  </si>
  <si>
    <t>Provider Efficiency (4% deflator)</t>
  </si>
  <si>
    <t>5) Savings and Efficiency</t>
  </si>
  <si>
    <t>4) Contingency</t>
  </si>
  <si>
    <t>Sub-total Investments</t>
  </si>
  <si>
    <t>Investments - GM Pool</t>
  </si>
  <si>
    <t>3) Investments</t>
  </si>
  <si>
    <t>Sub-total Inflationary &amp; Demand</t>
  </si>
  <si>
    <t>Activity Growth (Demand)</t>
  </si>
  <si>
    <t>Price Inflation</t>
  </si>
  <si>
    <t>2) Inflationary &amp; Demand Pressures</t>
  </si>
  <si>
    <t>Sub-total CCG 'Baseline' map</t>
  </si>
  <si>
    <t>Other / Reserves</t>
  </si>
  <si>
    <t>1) Baseline Budgets</t>
  </si>
  <si>
    <t>Total 14/15</t>
  </si>
  <si>
    <t>Non Recurrent</t>
  </si>
  <si>
    <t>Revenue Budget 2014/15</t>
  </si>
  <si>
    <t xml:space="preserve">GM Investment Pool 0.3% </t>
  </si>
  <si>
    <t>Total NEW investments</t>
  </si>
  <si>
    <t>2.5% Non rec Investment</t>
  </si>
  <si>
    <t>1% NR investment</t>
  </si>
  <si>
    <t>APPENDIX 3</t>
  </si>
  <si>
    <t>APPENDIX 2</t>
  </si>
  <si>
    <t>Total 13/14 Pressures &amp; Pre-Commits</t>
  </si>
  <si>
    <t>Investments - Call to Action</t>
  </si>
  <si>
    <t>Investments - Better Care Fund</t>
  </si>
  <si>
    <t>Investments - Local</t>
  </si>
  <si>
    <t>13/14 Pressures including CQuINs</t>
  </si>
  <si>
    <t>Net Inflation uplift</t>
  </si>
  <si>
    <t>Analysis of CIP Targets</t>
  </si>
  <si>
    <t>2016/17</t>
  </si>
  <si>
    <t>2017/18</t>
  </si>
  <si>
    <t>2018/19</t>
  </si>
  <si>
    <t>Activity by POD (Stretch target)</t>
  </si>
  <si>
    <t xml:space="preserve">Deflections </t>
  </si>
  <si>
    <t>No</t>
  </si>
  <si>
    <t>Elective</t>
  </si>
  <si>
    <t>Non-Elective</t>
  </si>
  <si>
    <t>A&amp;E Attendances</t>
  </si>
  <si>
    <t>Outpatients - First</t>
  </si>
  <si>
    <t>Outpatients - FU</t>
  </si>
  <si>
    <t>Ongoing Schemes delivering against above targets</t>
  </si>
  <si>
    <t>1) Integrated Care</t>
  </si>
  <si>
    <t>2) Outpatient Reform Programme</t>
  </si>
  <si>
    <t>3) NWAS Pathfinder</t>
  </si>
  <si>
    <t>4) Rapid Response</t>
  </si>
  <si>
    <t xml:space="preserve">5) GP Enhanced </t>
  </si>
  <si>
    <t>£ Impact of Deflections</t>
  </si>
  <si>
    <t>Activity Deflections</t>
  </si>
  <si>
    <t>Option 1 - High in Year Risk (Proposed)</t>
  </si>
  <si>
    <t>Option 2 - Moderate In Year Risk</t>
  </si>
  <si>
    <t>Option 3 - Very High In Year  Risk</t>
  </si>
  <si>
    <t>Budget</t>
  </si>
  <si>
    <t xml:space="preserve">Investment as proposed but with some limits on quality improvement and reform </t>
  </si>
  <si>
    <t>No investments committed except those which are required or already pre-committed</t>
  </si>
  <si>
    <t>All requested investments including:
- IVF
- Epilepsy
- more in CAMHS
- more in recurrent reform
- public health</t>
  </si>
  <si>
    <t>Impact is</t>
  </si>
  <si>
    <t xml:space="preserve">The CIP is significant
There will be some improvement in services but not at pace desired 
Some investment in reform but not a scale or pace required </t>
  </si>
  <si>
    <t>The CIP is smaller
There will be no improvement in services 
Reform will be purely "improvement within budget"</t>
  </si>
  <si>
    <t>Risk</t>
  </si>
  <si>
    <t>The recurrent CIP remains very challenging and in reality will probably need in-year measures to deliver statutory duty giving extra pressure to 15-16
Some reputational damage with certain stakeholder groups (epilepsy &amp; IVF)
Viewed as high risk by NHS E
Implementation capacity stretched</t>
  </si>
  <si>
    <t>The CIP for 15-16 becomes undeliverable as reform has been significantly constrained
Reputational damage with members (promised investment not materialised) and with Stakeholders (no service improvement)
Regulatory pressure in areas such as IAPT from NHS E</t>
  </si>
  <si>
    <t>The CIP is not delivered and reaches a point that it cannot be covered even non-recurrently leaving risk of non-compliance with our financial duty. 
The CCG will not have the capacity to deliver this degree of change within the year or if it does pace will impact on quality of outcome
Relational damage with partners trying to change too quickly
NHS E not satisfied budget is really balanced</t>
  </si>
  <si>
    <t>Benefits</t>
  </si>
  <si>
    <t xml:space="preserve">Likely to meet statutory duty
Likely to deliver some reform
Likely to move toward improving services particularly in mental health </t>
  </si>
  <si>
    <t xml:space="preserve">In year financial position much stronger
CCG capacity more easily focussed </t>
  </si>
  <si>
    <t xml:space="preserve">Improved reputation with certain stakeholder groups
Faster delivery of reform agenda </t>
  </si>
  <si>
    <t>Choices</t>
  </si>
  <si>
    <t xml:space="preserve">Invest in some quality improvement and reform whilst ensuring in-year compliance with financial duty but putting recurrent balance at risk </t>
  </si>
  <si>
    <t xml:space="preserve">Put in-year financial duty to balance ahead of long-term sustainable reform and quality improvement </t>
  </si>
  <si>
    <t>Put quality gains and reform ahead of finance to the degree financial duty to balance is compromised</t>
  </si>
  <si>
    <t>Investments</t>
  </si>
  <si>
    <t>As presented in budget
= £1,610,000 recurrent
= £8,875,000 non-recurrent</t>
  </si>
  <si>
    <r>
      <t xml:space="preserve">As presented less recurrently
- IAPT - £300,000
- Integrated Care - £525,000
- Falls Service - £75,000
- Hypertension  - £50,000
- Weight Management  - £300,000
- Adult ADHD / CAMHS - £100,000
- GSF Dementia Pathway - £50,000
- IM&amp;T £50,000
- Rapid Response expansion £160,000
</t>
    </r>
    <r>
      <rPr>
        <b/>
        <sz val="10"/>
        <color theme="1"/>
        <rFont val="Calibri"/>
        <family val="2"/>
        <scheme val="minor"/>
      </rPr>
      <t>Total = £1,610,000 less recurrently</t>
    </r>
  </si>
  <si>
    <r>
      <t xml:space="preserve">As presented plus recurrently
- IVF   - £100,000
- Epilepsy - £100,000
- more in CAMHS to required level - £200,000
- more in recurrent reform £1,000,000
- public health £200,000
</t>
    </r>
    <r>
      <rPr>
        <b/>
        <sz val="10"/>
        <color theme="1"/>
        <rFont val="Calibri"/>
        <family val="2"/>
        <scheme val="minor"/>
      </rPr>
      <t>Total = £1,600,000 extra</t>
    </r>
  </si>
  <si>
    <t>As presented in budget
= £9,438,000 recurrent</t>
  </si>
  <si>
    <r>
      <t xml:space="preserve">The CIP will </t>
    </r>
    <r>
      <rPr>
        <b/>
        <sz val="10"/>
        <color theme="1"/>
        <rFont val="Calibri"/>
        <family val="2"/>
        <scheme val="minor"/>
      </rPr>
      <t xml:space="preserve">drop </t>
    </r>
    <r>
      <rPr>
        <sz val="10"/>
        <color theme="1"/>
        <rFont val="Calibri"/>
        <family val="2"/>
        <scheme val="minor"/>
      </rPr>
      <t xml:space="preserve">recurrently from 
£9,438,000 to £7,828,000
</t>
    </r>
    <r>
      <rPr>
        <sz val="10"/>
        <color rgb="FFFF0000"/>
        <rFont val="Calibri"/>
        <family val="2"/>
        <scheme val="minor"/>
      </rPr>
      <t>-17%</t>
    </r>
  </si>
  <si>
    <t>The CIP will increase recurrently from
£9,438,000 to £11,038,000
+17%</t>
  </si>
  <si>
    <t>Comtingency</t>
  </si>
  <si>
    <t xml:space="preserve">Non-recurrent Calls against Call to Action &amp; £5 per Head </t>
  </si>
  <si>
    <t>Available Resource</t>
  </si>
  <si>
    <t xml:space="preserve">Call to Action Fund </t>
  </si>
  <si>
    <t>Combined Funding Envelope</t>
  </si>
  <si>
    <t>Investment decisions  for consideration</t>
  </si>
  <si>
    <r>
      <t xml:space="preserve">Prime ministers challenge fund  (Remodelling GP) </t>
    </r>
    <r>
      <rPr>
        <sz val="11"/>
        <color theme="3" tint="0.39997558519241921"/>
        <rFont val="Calibri"/>
        <family val="2"/>
        <scheme val="minor"/>
      </rPr>
      <t>Out of Hours</t>
    </r>
  </si>
  <si>
    <r>
      <t xml:space="preserve">Prime ministers challenge fund  (Remodelling GP) </t>
    </r>
    <r>
      <rPr>
        <sz val="11"/>
        <color theme="3" tint="0.39997558519241921"/>
        <rFont val="Calibri"/>
        <family val="2"/>
        <scheme val="minor"/>
      </rPr>
      <t>Acute / Chronic</t>
    </r>
  </si>
  <si>
    <t xml:space="preserve">Care Home Project </t>
  </si>
  <si>
    <t xml:space="preserve">Transition Costs </t>
  </si>
  <si>
    <t>IM&amp;T Enabler</t>
  </si>
  <si>
    <t>Hospital Front-End</t>
  </si>
  <si>
    <t xml:space="preserve">Transformation Capacity </t>
  </si>
  <si>
    <t>Total Potential Call against Combined Envelope</t>
  </si>
  <si>
    <t>PROPOSED SCHEDULE OF INVESTMENTS</t>
  </si>
  <si>
    <r>
      <t>R</t>
    </r>
    <r>
      <rPr>
        <b/>
        <sz val="9"/>
        <color theme="1"/>
        <rFont val="Times New Roman"/>
        <family val="1"/>
      </rPr>
      <t xml:space="preserve"> recognised priority area</t>
    </r>
  </si>
  <si>
    <t>APPENDIX 5</t>
  </si>
  <si>
    <t>Affordability Gap</t>
  </si>
  <si>
    <t>APPENDIX 4c</t>
  </si>
  <si>
    <t>Budget Summary - Options Appraisal                                     APPENDIX 4b</t>
  </si>
  <si>
    <t>Budget Summary - Options Appraisal                                                    APPENDIX 4a</t>
  </si>
  <si>
    <t xml:space="preserve">The CIP becomes very big, meaning either a greater number of admission deflections or a higher average saving per admission. 
Quality improvements desired are all made </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</si>
</sst>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6" formatCode="&quot;£&quot;#,##0;[Red]\-&quot;£&quot;#,##0"/>
    <numFmt numFmtId="43" formatCode="_-* #,##0.00_-;\-* #,##0.00_-;_-* &quot;-&quot;??_-;_-@_-"/>
    <numFmt numFmtId="164" formatCode="&quot;£&quot;#,##0"/>
    <numFmt numFmtId="165" formatCode="#,##0;[Red]\(#,##0\)"/>
    <numFmt numFmtId="166" formatCode="_-* #,##0_-;\-* #,##0_-;_-* &quot;-&quot;??_-;_-@_-"/>
    <numFmt numFmtId="167" formatCode="0.0%"/>
    <numFmt numFmtId="168" formatCode="&quot;£&quot;#,##0;[Red]\(&quot;£&quot;#,##0\)"/>
    <numFmt numFmtId="169" formatCode="#,##0.00;[Red]\(#,##0.00\)"/>
    <numFmt numFmtId="170" formatCode="#,##0.00;[Red]#,##0.00"/>
    <numFmt numFmtId="171" formatCode="&quot;£&quot;#,##0.0;\-&quot;£&quot;#,##0.0"/>
    <numFmt numFmtId="172" formatCode="#,##0_);\(#,##0\);\ &quot;-&quot;_-;_-@_-"/>
  </numFmts>
  <fonts count="39" x14ac:knownFonts="1">
    <font>
      <sz val="10"/>
      <name val="Arial"/>
    </font>
    <font>
      <sz val="11"/>
      <color theme="1"/>
      <name val="Calibri"/>
      <family val="2"/>
      <scheme val="minor"/>
    </font>
    <font>
      <sz val="10"/>
      <name val="Arial"/>
      <family val="2"/>
    </font>
    <font>
      <sz val="10"/>
      <name val="Arial"/>
      <family val="2"/>
    </font>
    <font>
      <b/>
      <sz val="10"/>
      <name val="Arial"/>
      <family val="2"/>
    </font>
    <font>
      <sz val="11"/>
      <name val="Arial"/>
      <family val="2"/>
    </font>
    <font>
      <sz val="10"/>
      <name val="Arial"/>
      <family val="2"/>
    </font>
    <font>
      <sz val="10"/>
      <name val="Arial"/>
      <family val="2"/>
    </font>
    <font>
      <sz val="8"/>
      <color indexed="81"/>
      <name val="Tahoma"/>
      <family val="2"/>
    </font>
    <font>
      <b/>
      <sz val="8"/>
      <color indexed="81"/>
      <name val="Tahoma"/>
      <family val="2"/>
    </font>
    <font>
      <b/>
      <sz val="12"/>
      <name val="Arial"/>
      <family val="2"/>
    </font>
    <font>
      <sz val="8"/>
      <color theme="1"/>
      <name val="Arial"/>
      <family val="2"/>
    </font>
    <font>
      <sz val="10"/>
      <color theme="1"/>
      <name val="Calibri"/>
      <family val="2"/>
      <scheme val="minor"/>
    </font>
    <font>
      <b/>
      <sz val="10"/>
      <color theme="1"/>
      <name val="Calibri"/>
      <family val="2"/>
      <scheme val="minor"/>
    </font>
    <font>
      <b/>
      <sz val="10"/>
      <name val="Calibri"/>
      <family val="2"/>
      <scheme val="minor"/>
    </font>
    <font>
      <b/>
      <sz val="12"/>
      <color theme="1"/>
      <name val="Calibri"/>
      <family val="2"/>
      <scheme val="minor"/>
    </font>
    <font>
      <sz val="10"/>
      <name val="Calibri"/>
      <family val="2"/>
      <scheme val="minor"/>
    </font>
    <font>
      <sz val="10"/>
      <color theme="0"/>
      <name val="Calibri"/>
      <family val="2"/>
      <scheme val="minor"/>
    </font>
    <font>
      <b/>
      <sz val="10"/>
      <color theme="0"/>
      <name val="Calibri"/>
      <family val="2"/>
      <scheme val="minor"/>
    </font>
    <font>
      <sz val="10"/>
      <color theme="1"/>
      <name val="Arial"/>
      <family val="2"/>
    </font>
    <font>
      <b/>
      <sz val="10"/>
      <color theme="1"/>
      <name val="Arial"/>
      <family val="2"/>
    </font>
    <font>
      <b/>
      <i/>
      <sz val="10"/>
      <color theme="1"/>
      <name val="Arial"/>
      <family val="2"/>
    </font>
    <font>
      <sz val="10"/>
      <color theme="0" tint="-0.14999847407452621"/>
      <name val="Calibri"/>
      <family val="2"/>
      <scheme val="minor"/>
    </font>
    <font>
      <sz val="11"/>
      <color rgb="FFFF0000"/>
      <name val="Calibri"/>
      <family val="2"/>
      <scheme val="minor"/>
    </font>
    <font>
      <b/>
      <sz val="11"/>
      <color theme="1"/>
      <name val="Calibri"/>
      <family val="2"/>
      <scheme val="minor"/>
    </font>
    <font>
      <b/>
      <sz val="9"/>
      <name val="Calibri"/>
      <family val="2"/>
      <scheme val="minor"/>
    </font>
    <font>
      <b/>
      <sz val="9"/>
      <color theme="0"/>
      <name val="Calibri"/>
      <family val="2"/>
      <scheme val="minor"/>
    </font>
    <font>
      <sz val="9"/>
      <color theme="1"/>
      <name val="Calibri"/>
      <family val="2"/>
      <scheme val="minor"/>
    </font>
    <font>
      <b/>
      <sz val="9"/>
      <color theme="1"/>
      <name val="Calibri"/>
      <family val="2"/>
      <scheme val="minor"/>
    </font>
    <font>
      <b/>
      <sz val="12"/>
      <color theme="0"/>
      <name val="Calibri"/>
      <family val="2"/>
      <scheme val="minor"/>
    </font>
    <font>
      <sz val="12"/>
      <color theme="1"/>
      <name val="Calibri"/>
      <family val="2"/>
      <scheme val="minor"/>
    </font>
    <font>
      <sz val="10"/>
      <color rgb="FFFF0000"/>
      <name val="Calibri"/>
      <family val="2"/>
      <scheme val="minor"/>
    </font>
    <font>
      <sz val="10"/>
      <color rgb="FF000000"/>
      <name val="Calibri"/>
      <family val="2"/>
    </font>
    <font>
      <b/>
      <sz val="10"/>
      <color rgb="FF000000"/>
      <name val="Calibri"/>
      <family val="2"/>
    </font>
    <font>
      <b/>
      <sz val="11"/>
      <color theme="1"/>
      <name val="Wingdings 2"/>
      <family val="1"/>
      <charset val="2"/>
    </font>
    <font>
      <sz val="11"/>
      <color theme="3" tint="0.39997558519241921"/>
      <name val="Calibri"/>
      <family val="2"/>
      <scheme val="minor"/>
    </font>
    <font>
      <b/>
      <sz val="9"/>
      <color theme="1"/>
      <name val="Wingdings 2"/>
      <family val="1"/>
      <charset val="2"/>
    </font>
    <font>
      <b/>
      <sz val="9"/>
      <color theme="1"/>
      <name val="Times New Roman"/>
      <family val="1"/>
    </font>
    <font>
      <b/>
      <sz val="12"/>
      <name val="Calibri"/>
      <family val="2"/>
      <scheme val="minor"/>
    </font>
  </fonts>
  <fills count="3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theme="6" tint="0.59999389629810485"/>
        <bgColor indexed="64"/>
      </patternFill>
    </fill>
    <fill>
      <patternFill patternType="solid">
        <fgColor rgb="FFFF0000"/>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00B050"/>
        <bgColor indexed="64"/>
      </patternFill>
    </fill>
    <fill>
      <patternFill patternType="solid">
        <fgColor theme="5" tint="0.59999389629810485"/>
        <bgColor indexed="64"/>
      </patternFill>
    </fill>
    <fill>
      <patternFill patternType="solid">
        <fgColor theme="2" tint="-0.249977111117893"/>
        <bgColor indexed="64"/>
      </patternFill>
    </fill>
    <fill>
      <patternFill patternType="solid">
        <fgColor theme="4" tint="0.39997558519241921"/>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2" tint="-0.499984740745262"/>
        <bgColor indexed="64"/>
      </patternFill>
    </fill>
    <fill>
      <patternFill patternType="solid">
        <fgColor theme="5" tint="0.39997558519241921"/>
        <bgColor indexed="64"/>
      </patternFill>
    </fill>
    <fill>
      <patternFill patternType="solid">
        <fgColor theme="8" tint="0.59999389629810485"/>
        <bgColor indexed="64"/>
      </patternFill>
    </fill>
    <fill>
      <patternFill patternType="solid">
        <fgColor theme="6" tint="-0.249977111117893"/>
        <bgColor indexed="64"/>
      </patternFill>
    </fill>
    <fill>
      <patternFill patternType="solid">
        <fgColor rgb="FF92D050"/>
        <bgColor indexed="64"/>
      </patternFill>
    </fill>
    <fill>
      <patternFill patternType="solid">
        <fgColor theme="0"/>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theme="4"/>
        <bgColor indexed="64"/>
      </patternFill>
    </fill>
    <fill>
      <patternFill patternType="solid">
        <fgColor theme="7" tint="0.59999389629810485"/>
        <bgColor indexed="64"/>
      </patternFill>
    </fill>
    <fill>
      <patternFill patternType="solid">
        <fgColor theme="7" tint="0.39997558519241921"/>
        <bgColor auto="1"/>
      </patternFill>
    </fill>
    <fill>
      <patternFill patternType="solid">
        <fgColor indexed="65"/>
        <bgColor auto="1"/>
      </patternFill>
    </fill>
    <fill>
      <patternFill patternType="solid">
        <fgColor theme="6" tint="0.39997558519241921"/>
        <bgColor auto="1"/>
      </patternFill>
    </fill>
    <fill>
      <patternFill patternType="solid">
        <fgColor theme="4" tint="0.59999389629810485"/>
        <bgColor auto="1"/>
      </patternFill>
    </fill>
    <fill>
      <patternFill patternType="solid">
        <fgColor rgb="FFFFC000"/>
        <bgColor auto="1"/>
      </patternFill>
    </fill>
    <fill>
      <patternFill patternType="solid">
        <fgColor theme="1" tint="0.249977111117893"/>
        <bgColor indexed="64"/>
      </patternFill>
    </fill>
  </fills>
  <borders count="84">
    <border>
      <left/>
      <right/>
      <top/>
      <bottom/>
      <diagonal/>
    </border>
    <border>
      <left style="thin">
        <color indexed="8"/>
      </left>
      <right/>
      <top style="thin">
        <color indexed="8"/>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65"/>
      </left>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8"/>
      </top>
      <bottom/>
      <diagonal/>
    </border>
    <border>
      <left style="thin">
        <color indexed="8"/>
      </left>
      <right/>
      <top/>
      <bottom/>
      <diagonal/>
    </border>
    <border>
      <left/>
      <right/>
      <top style="thin">
        <color indexed="8"/>
      </top>
      <bottom style="thin">
        <color indexed="8"/>
      </bottom>
      <diagonal/>
    </border>
    <border>
      <left style="thin">
        <color indexed="64"/>
      </left>
      <right style="thin">
        <color indexed="64"/>
      </right>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indexed="8"/>
      </left>
      <right/>
      <top style="thin">
        <color indexed="8"/>
      </top>
      <bottom/>
      <diagonal/>
    </border>
    <border>
      <left style="medium">
        <color indexed="64"/>
      </left>
      <right/>
      <top style="medium">
        <color indexed="64"/>
      </top>
      <bottom style="thin">
        <color indexed="64"/>
      </bottom>
      <diagonal/>
    </border>
    <border>
      <left style="medium">
        <color indexed="64"/>
      </left>
      <right/>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right/>
      <top style="thin">
        <color indexed="8"/>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style="thin">
        <color auto="1"/>
      </right>
      <top/>
      <bottom/>
      <diagonal/>
    </border>
    <border>
      <left style="medium">
        <color auto="1"/>
      </left>
      <right style="thin">
        <color auto="1"/>
      </right>
      <top/>
      <bottom style="medium">
        <color auto="1"/>
      </bottom>
      <diagonal/>
    </border>
    <border>
      <left/>
      <right/>
      <top style="medium">
        <color indexed="64"/>
      </top>
      <bottom style="medium">
        <color indexed="64"/>
      </bottom>
      <diagonal/>
    </border>
    <border>
      <left style="medium">
        <color indexed="64"/>
      </left>
      <right style="medium">
        <color auto="1"/>
      </right>
      <top style="medium">
        <color indexed="64"/>
      </top>
      <bottom/>
      <diagonal/>
    </border>
    <border>
      <left/>
      <right/>
      <top style="medium">
        <color indexed="64"/>
      </top>
      <bottom style="thin">
        <color indexed="64"/>
      </bottom>
      <diagonal/>
    </border>
    <border>
      <left style="medium">
        <color indexed="64"/>
      </left>
      <right style="medium">
        <color auto="1"/>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auto="1"/>
      </right>
      <top style="thin">
        <color indexed="64"/>
      </top>
      <bottom/>
      <diagonal/>
    </border>
    <border>
      <left style="medium">
        <color auto="1"/>
      </left>
      <right style="thin">
        <color auto="1"/>
      </right>
      <top style="thin">
        <color auto="1"/>
      </top>
      <bottom/>
      <diagonal/>
    </border>
    <border>
      <left/>
      <right style="thin">
        <color auto="1"/>
      </right>
      <top style="thin">
        <color auto="1"/>
      </top>
      <bottom/>
      <diagonal/>
    </border>
    <border>
      <left/>
      <right style="medium">
        <color indexed="64"/>
      </right>
      <top style="thin">
        <color auto="1"/>
      </top>
      <bottom/>
      <diagonal/>
    </border>
    <border>
      <left style="medium">
        <color indexed="64"/>
      </left>
      <right style="medium">
        <color auto="1"/>
      </right>
      <top/>
      <bottom style="medium">
        <color indexed="64"/>
      </bottom>
      <diagonal/>
    </border>
    <border>
      <left/>
      <right style="medium">
        <color auto="1"/>
      </right>
      <top style="medium">
        <color indexed="64"/>
      </top>
      <bottom/>
      <diagonal/>
    </border>
    <border>
      <left/>
      <right/>
      <top style="thin">
        <color indexed="64"/>
      </top>
      <bottom style="thin">
        <color indexed="64"/>
      </bottom>
      <diagonal/>
    </border>
    <border>
      <left style="thin">
        <color auto="1"/>
      </left>
      <right style="medium">
        <color auto="1"/>
      </right>
      <top style="thin">
        <color auto="1"/>
      </top>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8"/>
      </left>
      <right/>
      <top style="thin">
        <color indexed="8"/>
      </top>
      <bottom/>
      <diagonal/>
    </border>
    <border>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right/>
      <top style="thin">
        <color auto="1"/>
      </top>
      <bottom style="double">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auto="1"/>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auto="1"/>
      </bottom>
      <diagonal/>
    </border>
    <border>
      <left style="medium">
        <color indexed="64"/>
      </left>
      <right style="medium">
        <color indexed="64"/>
      </right>
      <top style="thin">
        <color indexed="64"/>
      </top>
      <bottom style="medium">
        <color indexed="64"/>
      </bottom>
      <diagonal/>
    </border>
    <border>
      <left/>
      <right/>
      <top style="thin">
        <color auto="1"/>
      </top>
      <bottom/>
      <diagonal/>
    </border>
    <border>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9">
    <xf numFmtId="0" fontId="0" fillId="0" borderId="0"/>
    <xf numFmtId="43" fontId="2" fillId="0" borderId="0" applyFont="0" applyFill="0" applyBorder="0" applyAlignment="0" applyProtection="0"/>
    <xf numFmtId="43" fontId="7" fillId="0" borderId="0" applyFont="0" applyFill="0" applyBorder="0" applyAlignment="0" applyProtection="0"/>
    <xf numFmtId="43" fontId="3" fillId="0" borderId="0" applyFont="0" applyFill="0" applyBorder="0" applyAlignment="0" applyProtection="0"/>
    <xf numFmtId="0" fontId="5" fillId="0" borderId="0"/>
    <xf numFmtId="0" fontId="3" fillId="0" borderId="0"/>
    <xf numFmtId="0" fontId="2" fillId="0" borderId="0"/>
    <xf numFmtId="0" fontId="1" fillId="0" borderId="0"/>
    <xf numFmtId="0" fontId="2" fillId="0" borderId="0"/>
  </cellStyleXfs>
  <cellXfs count="623">
    <xf numFmtId="0" fontId="0" fillId="0" borderId="0" xfId="0"/>
    <xf numFmtId="0" fontId="0" fillId="0" borderId="2" xfId="0" applyBorder="1" applyAlignment="1">
      <alignment wrapText="1"/>
    </xf>
    <xf numFmtId="0" fontId="3" fillId="0" borderId="2" xfId="0" applyFont="1" applyBorder="1" applyAlignment="1">
      <alignment wrapText="1"/>
    </xf>
    <xf numFmtId="165" fontId="0" fillId="0" borderId="2" xfId="1" applyNumberFormat="1" applyFont="1" applyBorder="1" applyAlignment="1">
      <alignment horizontal="center"/>
    </xf>
    <xf numFmtId="165" fontId="0" fillId="2" borderId="3" xfId="1" applyNumberFormat="1" applyFont="1" applyFill="1" applyBorder="1" applyAlignment="1">
      <alignment horizontal="center"/>
    </xf>
    <xf numFmtId="0" fontId="4" fillId="0" borderId="2" xfId="0" applyFont="1" applyFill="1" applyBorder="1" applyAlignment="1">
      <alignment horizontal="center" wrapText="1"/>
    </xf>
    <xf numFmtId="0" fontId="4" fillId="0" borderId="5" xfId="0" applyFont="1" applyBorder="1" applyAlignment="1">
      <alignment horizontal="center"/>
    </xf>
    <xf numFmtId="0" fontId="4" fillId="0" borderId="2" xfId="0" applyFont="1" applyBorder="1" applyAlignment="1">
      <alignment horizontal="center" wrapText="1"/>
    </xf>
    <xf numFmtId="0" fontId="4" fillId="2" borderId="2" xfId="0" applyFont="1" applyFill="1" applyBorder="1" applyAlignment="1">
      <alignment horizontal="center" wrapText="1"/>
    </xf>
    <xf numFmtId="165" fontId="4" fillId="0" borderId="2" xfId="0" applyNumberFormat="1" applyFont="1" applyFill="1" applyBorder="1" applyAlignment="1">
      <alignment horizontal="center" wrapText="1"/>
    </xf>
    <xf numFmtId="165" fontId="0" fillId="0" borderId="2" xfId="0" applyNumberFormat="1" applyBorder="1" applyAlignment="1">
      <alignment horizontal="center"/>
    </xf>
    <xf numFmtId="165" fontId="0" fillId="0" borderId="0" xfId="0" applyNumberFormat="1" applyAlignment="1">
      <alignment horizontal="center"/>
    </xf>
    <xf numFmtId="165" fontId="4" fillId="0" borderId="2" xfId="1" applyNumberFormat="1" applyFont="1" applyFill="1" applyBorder="1" applyAlignment="1">
      <alignment horizontal="right" wrapText="1"/>
    </xf>
    <xf numFmtId="165" fontId="0" fillId="0" borderId="2" xfId="1" applyNumberFormat="1" applyFont="1" applyBorder="1" applyAlignment="1">
      <alignment horizontal="right"/>
    </xf>
    <xf numFmtId="165" fontId="0" fillId="2" borderId="3" xfId="1" applyNumberFormat="1" applyFont="1" applyFill="1" applyBorder="1" applyAlignment="1">
      <alignment horizontal="right"/>
    </xf>
    <xf numFmtId="165" fontId="0" fillId="0" borderId="3" xfId="0" applyNumberFormat="1" applyBorder="1" applyAlignment="1">
      <alignment horizontal="right"/>
    </xf>
    <xf numFmtId="165" fontId="0" fillId="0" borderId="0" xfId="1" applyNumberFormat="1" applyFont="1" applyAlignment="1">
      <alignment horizontal="right"/>
    </xf>
    <xf numFmtId="165" fontId="0" fillId="4" borderId="2" xfId="0" applyNumberFormat="1" applyFill="1" applyBorder="1" applyAlignment="1">
      <alignment horizontal="center"/>
    </xf>
    <xf numFmtId="165" fontId="4" fillId="4" borderId="2" xfId="0" applyNumberFormat="1" applyFont="1" applyFill="1" applyBorder="1" applyAlignment="1">
      <alignment horizontal="center" wrapText="1"/>
    </xf>
    <xf numFmtId="165" fontId="0" fillId="0" borderId="9" xfId="0" applyNumberFormat="1" applyBorder="1" applyAlignment="1">
      <alignment horizontal="center"/>
    </xf>
    <xf numFmtId="165" fontId="0" fillId="0" borderId="9" xfId="1" applyNumberFormat="1" applyFont="1" applyBorder="1" applyAlignment="1">
      <alignment horizontal="right"/>
    </xf>
    <xf numFmtId="165" fontId="0" fillId="0" borderId="11" xfId="0" applyNumberFormat="1" applyBorder="1" applyAlignment="1">
      <alignment horizontal="center"/>
    </xf>
    <xf numFmtId="165" fontId="0" fillId="0" borderId="11" xfId="1" applyNumberFormat="1" applyFont="1" applyBorder="1" applyAlignment="1">
      <alignment horizontal="right"/>
    </xf>
    <xf numFmtId="165" fontId="7" fillId="3" borderId="0" xfId="1" quotePrefix="1" applyNumberFormat="1" applyFont="1" applyFill="1" applyBorder="1" applyAlignment="1"/>
    <xf numFmtId="165" fontId="0" fillId="2" borderId="2" xfId="1" applyNumberFormat="1" applyFont="1" applyFill="1" applyBorder="1" applyAlignment="1">
      <alignment horizontal="center"/>
    </xf>
    <xf numFmtId="0" fontId="0" fillId="0" borderId="9" xfId="0" applyBorder="1" applyAlignment="1">
      <alignment wrapText="1"/>
    </xf>
    <xf numFmtId="0" fontId="0" fillId="0" borderId="11" xfId="0" applyBorder="1" applyAlignment="1">
      <alignment wrapText="1"/>
    </xf>
    <xf numFmtId="0" fontId="3" fillId="0" borderId="2" xfId="0" applyFont="1" applyFill="1" applyBorder="1"/>
    <xf numFmtId="0" fontId="4" fillId="0" borderId="0" xfId="0" applyFont="1" applyAlignment="1">
      <alignment horizontal="center" wrapText="1"/>
    </xf>
    <xf numFmtId="0" fontId="4" fillId="8" borderId="0" xfId="0" applyFont="1" applyFill="1" applyAlignment="1">
      <alignment horizontal="center" wrapText="1"/>
    </xf>
    <xf numFmtId="0" fontId="4" fillId="2" borderId="0" xfId="0" applyFont="1" applyFill="1" applyBorder="1" applyAlignment="1">
      <alignment horizontal="center" wrapText="1"/>
    </xf>
    <xf numFmtId="164" fontId="0" fillId="0" borderId="0" xfId="0" applyNumberFormat="1" applyAlignment="1">
      <alignment horizontal="center"/>
    </xf>
    <xf numFmtId="0" fontId="0" fillId="0" borderId="0" xfId="0" applyBorder="1" applyAlignment="1">
      <alignment wrapText="1"/>
    </xf>
    <xf numFmtId="164" fontId="0" fillId="0" borderId="0" xfId="0" applyNumberFormat="1" applyAlignment="1"/>
    <xf numFmtId="165" fontId="0" fillId="0" borderId="0" xfId="0" applyNumberFormat="1" applyBorder="1" applyAlignment="1">
      <alignment horizontal="center"/>
    </xf>
    <xf numFmtId="165" fontId="0" fillId="0" borderId="0" xfId="1" applyNumberFormat="1" applyFont="1" applyBorder="1" applyAlignment="1">
      <alignment horizontal="right"/>
    </xf>
    <xf numFmtId="165" fontId="0" fillId="0" borderId="0" xfId="1" applyNumberFormat="1" applyFont="1" applyBorder="1" applyAlignment="1">
      <alignment wrapText="1"/>
    </xf>
    <xf numFmtId="0" fontId="0" fillId="0" borderId="0" xfId="0" applyAlignment="1">
      <alignment wrapText="1"/>
    </xf>
    <xf numFmtId="0" fontId="0" fillId="0" borderId="0" xfId="0" applyAlignment="1"/>
    <xf numFmtId="0" fontId="0" fillId="0" borderId="1" xfId="0" applyBorder="1" applyAlignment="1"/>
    <xf numFmtId="164" fontId="0" fillId="0" borderId="1" xfId="0" applyNumberFormat="1" applyBorder="1" applyAlignment="1"/>
    <xf numFmtId="165" fontId="0" fillId="0" borderId="2" xfId="1" applyNumberFormat="1" applyFont="1" applyBorder="1" applyAlignment="1"/>
    <xf numFmtId="165" fontId="0" fillId="2" borderId="2" xfId="1" applyNumberFormat="1" applyFont="1" applyFill="1" applyBorder="1" applyAlignment="1"/>
    <xf numFmtId="165" fontId="0" fillId="2" borderId="0" xfId="1" applyNumberFormat="1" applyFont="1" applyFill="1" applyBorder="1" applyAlignment="1"/>
    <xf numFmtId="0" fontId="3" fillId="0" borderId="2" xfId="0" applyFont="1" applyBorder="1" applyAlignment="1"/>
    <xf numFmtId="165" fontId="0" fillId="0" borderId="2" xfId="0" applyNumberFormat="1" applyBorder="1" applyAlignment="1"/>
    <xf numFmtId="165" fontId="0" fillId="4" borderId="2" xfId="0" applyNumberFormat="1" applyFill="1" applyBorder="1" applyAlignment="1"/>
    <xf numFmtId="165" fontId="0" fillId="0" borderId="0" xfId="0" applyNumberFormat="1" applyAlignment="1"/>
    <xf numFmtId="165" fontId="0" fillId="8" borderId="0" xfId="0" applyNumberFormat="1" applyFill="1" applyAlignment="1"/>
    <xf numFmtId="0" fontId="2" fillId="0" borderId="1" xfId="0" applyFont="1" applyBorder="1" applyAlignment="1"/>
    <xf numFmtId="164" fontId="0" fillId="0" borderId="1" xfId="0" applyNumberFormat="1" applyFill="1" applyBorder="1" applyAlignment="1"/>
    <xf numFmtId="165" fontId="0" fillId="0" borderId="2" xfId="1" applyNumberFormat="1" applyFont="1" applyFill="1" applyBorder="1" applyAlignment="1"/>
    <xf numFmtId="0" fontId="0" fillId="0" borderId="1" xfId="0" applyFont="1" applyFill="1" applyBorder="1" applyAlignment="1"/>
    <xf numFmtId="0" fontId="0" fillId="0" borderId="2" xfId="0" applyBorder="1" applyAlignment="1"/>
    <xf numFmtId="0" fontId="0" fillId="0" borderId="0" xfId="0" applyBorder="1" applyAlignment="1"/>
    <xf numFmtId="165" fontId="0" fillId="0" borderId="0" xfId="0" applyNumberFormat="1" applyBorder="1" applyAlignment="1"/>
    <xf numFmtId="0" fontId="0" fillId="0" borderId="13" xfId="0" applyBorder="1" applyAlignment="1"/>
    <xf numFmtId="164" fontId="0" fillId="0" borderId="0" xfId="0" applyNumberFormat="1" applyBorder="1" applyAlignment="1"/>
    <xf numFmtId="165" fontId="0" fillId="0" borderId="0" xfId="1" applyNumberFormat="1" applyFont="1" applyBorder="1" applyAlignment="1"/>
    <xf numFmtId="0" fontId="3" fillId="0" borderId="0" xfId="0" applyFont="1" applyBorder="1" applyAlignment="1"/>
    <xf numFmtId="164" fontId="0" fillId="0" borderId="12" xfId="0" applyNumberFormat="1" applyBorder="1" applyAlignment="1"/>
    <xf numFmtId="0" fontId="0" fillId="4" borderId="6" xfId="0" applyFill="1" applyBorder="1" applyAlignment="1"/>
    <xf numFmtId="0" fontId="0" fillId="4" borderId="7" xfId="0" applyFill="1" applyBorder="1" applyAlignment="1"/>
    <xf numFmtId="0" fontId="0" fillId="4" borderId="14" xfId="0" applyFill="1" applyBorder="1" applyAlignment="1"/>
    <xf numFmtId="164" fontId="0" fillId="4" borderId="6" xfId="0" applyNumberFormat="1" applyFill="1" applyBorder="1" applyAlignment="1"/>
    <xf numFmtId="165" fontId="6" fillId="4" borderId="2" xfId="1" applyNumberFormat="1" applyFont="1" applyFill="1" applyBorder="1" applyAlignment="1"/>
    <xf numFmtId="0" fontId="0" fillId="4" borderId="0" xfId="0" applyFill="1" applyAlignment="1"/>
    <xf numFmtId="0" fontId="0" fillId="4" borderId="2" xfId="0" applyFill="1" applyBorder="1" applyAlignment="1"/>
    <xf numFmtId="164" fontId="0" fillId="0" borderId="2" xfId="0" applyNumberFormat="1" applyBorder="1" applyAlignment="1"/>
    <xf numFmtId="0" fontId="0" fillId="4" borderId="3" xfId="0" applyFill="1" applyBorder="1" applyAlignment="1"/>
    <xf numFmtId="164" fontId="0" fillId="7" borderId="2" xfId="0" applyNumberFormat="1" applyFill="1" applyBorder="1" applyAlignment="1"/>
    <xf numFmtId="165" fontId="6" fillId="7" borderId="2" xfId="1" applyNumberFormat="1" applyFont="1" applyFill="1" applyBorder="1" applyAlignment="1"/>
    <xf numFmtId="165" fontId="6" fillId="5" borderId="2" xfId="1" applyNumberFormat="1" applyFont="1" applyFill="1" applyBorder="1" applyAlignment="1"/>
    <xf numFmtId="0" fontId="0" fillId="4" borderId="0" xfId="0" applyFill="1" applyBorder="1" applyAlignment="1"/>
    <xf numFmtId="165" fontId="0" fillId="2" borderId="10" xfId="1" applyNumberFormat="1" applyFont="1" applyFill="1" applyBorder="1" applyAlignment="1"/>
    <xf numFmtId="0" fontId="0" fillId="0" borderId="10" xfId="0" applyBorder="1" applyAlignment="1"/>
    <xf numFmtId="0" fontId="0" fillId="0" borderId="11" xfId="0" applyBorder="1" applyAlignment="1"/>
    <xf numFmtId="165" fontId="0" fillId="0" borderId="11" xfId="0" applyNumberFormat="1" applyBorder="1" applyAlignment="1"/>
    <xf numFmtId="165" fontId="0" fillId="4" borderId="11" xfId="0" applyNumberFormat="1" applyFill="1" applyBorder="1" applyAlignment="1"/>
    <xf numFmtId="0" fontId="0" fillId="0" borderId="9" xfId="0" applyBorder="1" applyAlignment="1"/>
    <xf numFmtId="165" fontId="0" fillId="0" borderId="9" xfId="0" applyNumberFormat="1" applyBorder="1" applyAlignment="1"/>
    <xf numFmtId="165" fontId="0" fillId="4" borderId="9" xfId="0" applyNumberFormat="1" applyFill="1" applyBorder="1" applyAlignment="1"/>
    <xf numFmtId="165" fontId="0" fillId="0" borderId="10" xfId="1" applyNumberFormat="1" applyFont="1" applyBorder="1" applyAlignment="1"/>
    <xf numFmtId="165" fontId="0" fillId="0" borderId="11" xfId="1" applyNumberFormat="1" applyFont="1" applyBorder="1" applyAlignment="1"/>
    <xf numFmtId="165" fontId="7" fillId="3" borderId="0" xfId="1" applyNumberFormat="1" applyFont="1" applyFill="1" applyBorder="1" applyAlignment="1"/>
    <xf numFmtId="165" fontId="0" fillId="0" borderId="9" xfId="1" applyNumberFormat="1" applyFont="1" applyBorder="1" applyAlignment="1"/>
    <xf numFmtId="166" fontId="0" fillId="0" borderId="2" xfId="1" applyNumberFormat="1" applyFont="1" applyBorder="1" applyAlignment="1"/>
    <xf numFmtId="164" fontId="0" fillId="2" borderId="0" xfId="0" applyNumberFormat="1" applyFill="1" applyAlignment="1"/>
    <xf numFmtId="165" fontId="7" fillId="3" borderId="8" xfId="1" applyNumberFormat="1" applyFont="1" applyFill="1" applyBorder="1" applyAlignment="1"/>
    <xf numFmtId="165" fontId="7" fillId="3" borderId="4" xfId="1" applyNumberFormat="1" applyFont="1" applyFill="1" applyBorder="1" applyAlignment="1"/>
    <xf numFmtId="165" fontId="0" fillId="2" borderId="3" xfId="1" applyNumberFormat="1" applyFont="1" applyFill="1" applyBorder="1" applyAlignment="1"/>
    <xf numFmtId="0" fontId="0" fillId="0" borderId="4" xfId="0" applyBorder="1" applyAlignment="1"/>
    <xf numFmtId="164" fontId="0" fillId="0" borderId="4" xfId="0" applyNumberFormat="1" applyBorder="1" applyAlignment="1"/>
    <xf numFmtId="165" fontId="0" fillId="0" borderId="4" xfId="0" applyNumberFormat="1" applyBorder="1" applyAlignment="1"/>
    <xf numFmtId="165" fontId="0" fillId="0" borderId="3" xfId="0" applyNumberFormat="1" applyBorder="1" applyAlignment="1"/>
    <xf numFmtId="165" fontId="0" fillId="5" borderId="3" xfId="0" applyNumberFormat="1" applyFill="1" applyBorder="1" applyAlignment="1"/>
    <xf numFmtId="164" fontId="0" fillId="0" borderId="0" xfId="0" applyNumberFormat="1" applyFill="1" applyBorder="1" applyAlignment="1"/>
    <xf numFmtId="0" fontId="0" fillId="3" borderId="0" xfId="0" applyFill="1" applyBorder="1" applyAlignment="1">
      <alignment wrapText="1"/>
    </xf>
    <xf numFmtId="0" fontId="0" fillId="2" borderId="0" xfId="0" applyFill="1" applyBorder="1" applyAlignment="1"/>
    <xf numFmtId="165" fontId="0" fillId="8" borderId="0" xfId="0" applyNumberFormat="1" applyFill="1" applyBorder="1" applyAlignment="1"/>
    <xf numFmtId="0" fontId="2" fillId="0" borderId="2" xfId="0" applyFont="1" applyBorder="1" applyAlignment="1"/>
    <xf numFmtId="0" fontId="3" fillId="0" borderId="1" xfId="0" applyFont="1" applyBorder="1" applyAlignment="1"/>
    <xf numFmtId="165" fontId="0" fillId="0" borderId="0" xfId="1" applyNumberFormat="1" applyFont="1" applyFill="1" applyBorder="1" applyAlignment="1"/>
    <xf numFmtId="165" fontId="0" fillId="5" borderId="2" xfId="1" applyNumberFormat="1" applyFont="1" applyFill="1" applyBorder="1" applyAlignment="1"/>
    <xf numFmtId="165" fontId="0" fillId="0" borderId="0" xfId="0" applyNumberFormat="1" applyFill="1" applyAlignment="1">
      <alignment horizontal="center"/>
    </xf>
    <xf numFmtId="164" fontId="0" fillId="0" borderId="0" xfId="0" applyNumberFormat="1" applyFill="1" applyAlignment="1"/>
    <xf numFmtId="164" fontId="0" fillId="0" borderId="0" xfId="0" applyNumberFormat="1" applyFill="1" applyAlignment="1">
      <alignment horizontal="center"/>
    </xf>
    <xf numFmtId="0" fontId="0" fillId="0" borderId="0" xfId="0" applyFill="1" applyBorder="1" applyAlignment="1"/>
    <xf numFmtId="165" fontId="6" fillId="0" borderId="2" xfId="1" applyNumberFormat="1" applyFont="1" applyFill="1" applyBorder="1" applyAlignment="1"/>
    <xf numFmtId="165" fontId="7" fillId="0" borderId="0" xfId="1" quotePrefix="1" applyNumberFormat="1" applyFont="1" applyFill="1" applyBorder="1" applyAlignment="1"/>
    <xf numFmtId="165" fontId="0" fillId="0" borderId="10" xfId="1" applyNumberFormat="1" applyFont="1" applyFill="1" applyBorder="1" applyAlignment="1"/>
    <xf numFmtId="165" fontId="7" fillId="0" borderId="0" xfId="1" applyNumberFormat="1" applyFont="1" applyFill="1" applyBorder="1" applyAlignment="1"/>
    <xf numFmtId="165" fontId="7" fillId="0" borderId="4" xfId="1" applyNumberFormat="1" applyFont="1" applyFill="1" applyBorder="1" applyAlignment="1"/>
    <xf numFmtId="0" fontId="0" fillId="0" borderId="4" xfId="0" applyFill="1" applyBorder="1" applyAlignment="1"/>
    <xf numFmtId="0" fontId="0" fillId="0" borderId="0" xfId="0" applyFill="1" applyAlignment="1"/>
    <xf numFmtId="165" fontId="0" fillId="0" borderId="0" xfId="1" quotePrefix="1" applyNumberFormat="1" applyFont="1" applyBorder="1" applyAlignment="1"/>
    <xf numFmtId="165" fontId="0" fillId="0" borderId="0" xfId="1" quotePrefix="1" applyNumberFormat="1" applyFont="1" applyFill="1" applyBorder="1" applyAlignment="1"/>
    <xf numFmtId="0" fontId="0" fillId="0" borderId="15" xfId="0" applyBorder="1" applyAlignment="1"/>
    <xf numFmtId="165" fontId="0" fillId="0" borderId="15" xfId="0" applyNumberFormat="1" applyBorder="1" applyAlignment="1">
      <alignment horizontal="center"/>
    </xf>
    <xf numFmtId="165" fontId="0" fillId="0" borderId="15" xfId="0" applyNumberFormat="1" applyBorder="1" applyAlignment="1"/>
    <xf numFmtId="0" fontId="0" fillId="0" borderId="15" xfId="0" applyBorder="1" applyAlignment="1">
      <alignment wrapText="1"/>
    </xf>
    <xf numFmtId="165" fontId="0" fillId="0" borderId="2" xfId="1" quotePrefix="1" applyNumberFormat="1" applyFont="1" applyBorder="1" applyAlignment="1"/>
    <xf numFmtId="165" fontId="0" fillId="0" borderId="10" xfId="1" applyNumberFormat="1" applyFont="1" applyBorder="1"/>
    <xf numFmtId="10" fontId="0" fillId="0" borderId="0" xfId="0" applyNumberFormat="1" applyAlignment="1"/>
    <xf numFmtId="165" fontId="0" fillId="2" borderId="0" xfId="1" applyNumberFormat="1" applyFont="1" applyFill="1" applyBorder="1"/>
    <xf numFmtId="165" fontId="0" fillId="2" borderId="2" xfId="1" applyNumberFormat="1" applyFont="1" applyFill="1" applyBorder="1"/>
    <xf numFmtId="165" fontId="0" fillId="2" borderId="10" xfId="1" applyNumberFormat="1" applyFont="1" applyFill="1" applyBorder="1"/>
    <xf numFmtId="165" fontId="0" fillId="0" borderId="0" xfId="0" applyNumberFormat="1" applyBorder="1" applyAlignment="1">
      <alignment horizontal="right"/>
    </xf>
    <xf numFmtId="168" fontId="0" fillId="0" borderId="0" xfId="0" applyNumberFormat="1" applyAlignment="1"/>
    <xf numFmtId="165" fontId="4" fillId="9" borderId="2" xfId="0" applyNumberFormat="1" applyFont="1" applyFill="1" applyBorder="1" applyAlignment="1">
      <alignment horizontal="center" wrapText="1"/>
    </xf>
    <xf numFmtId="0" fontId="4" fillId="9" borderId="0" xfId="0" applyFont="1" applyFill="1" applyAlignment="1">
      <alignment horizontal="center" wrapText="1"/>
    </xf>
    <xf numFmtId="165" fontId="6" fillId="11" borderId="2" xfId="1" applyNumberFormat="1" applyFont="1" applyFill="1" applyBorder="1" applyAlignment="1">
      <alignment horizontal="right"/>
    </xf>
    <xf numFmtId="165" fontId="6" fillId="11" borderId="2" xfId="1" applyNumberFormat="1" applyFont="1" applyFill="1" applyBorder="1" applyAlignment="1">
      <alignment horizontal="center"/>
    </xf>
    <xf numFmtId="165" fontId="6" fillId="11" borderId="2" xfId="1" applyNumberFormat="1" applyFont="1" applyFill="1" applyBorder="1" applyAlignment="1"/>
    <xf numFmtId="165" fontId="0" fillId="11" borderId="2" xfId="0" applyNumberFormat="1" applyFill="1" applyBorder="1" applyAlignment="1"/>
    <xf numFmtId="165" fontId="0" fillId="7" borderId="2" xfId="1" applyNumberFormat="1" applyFont="1" applyFill="1" applyBorder="1" applyAlignment="1"/>
    <xf numFmtId="165" fontId="0" fillId="10" borderId="2" xfId="1" applyNumberFormat="1" applyFont="1" applyFill="1" applyBorder="1" applyAlignment="1"/>
    <xf numFmtId="165" fontId="0" fillId="3" borderId="2" xfId="1" applyNumberFormat="1" applyFont="1" applyFill="1" applyBorder="1" applyAlignment="1"/>
    <xf numFmtId="165" fontId="4" fillId="12" borderId="2" xfId="1" applyNumberFormat="1" applyFont="1" applyFill="1" applyBorder="1" applyAlignment="1"/>
    <xf numFmtId="165" fontId="0" fillId="13" borderId="2" xfId="1" applyNumberFormat="1" applyFont="1" applyFill="1" applyBorder="1" applyAlignment="1"/>
    <xf numFmtId="165" fontId="0" fillId="14" borderId="2" xfId="1" applyNumberFormat="1" applyFont="1" applyFill="1" applyBorder="1" applyAlignment="1"/>
    <xf numFmtId="165" fontId="0" fillId="15" borderId="2" xfId="1" applyNumberFormat="1" applyFont="1" applyFill="1" applyBorder="1" applyAlignment="1"/>
    <xf numFmtId="0" fontId="0" fillId="5" borderId="0" xfId="0" applyFill="1" applyAlignment="1"/>
    <xf numFmtId="0" fontId="0" fillId="16" borderId="0" xfId="0" applyFill="1" applyAlignment="1"/>
    <xf numFmtId="164" fontId="0" fillId="0" borderId="2" xfId="0" applyNumberFormat="1" applyFill="1" applyBorder="1" applyAlignment="1"/>
    <xf numFmtId="165" fontId="0" fillId="0" borderId="0" xfId="0" applyNumberFormat="1" applyFill="1" applyBorder="1" applyAlignment="1"/>
    <xf numFmtId="165" fontId="0" fillId="0" borderId="0" xfId="0" applyNumberFormat="1" applyFill="1" applyAlignment="1"/>
    <xf numFmtId="165" fontId="0" fillId="4" borderId="0" xfId="0" applyNumberFormat="1" applyFill="1" applyAlignment="1"/>
    <xf numFmtId="164" fontId="2" fillId="0" borderId="0" xfId="0" applyNumberFormat="1" applyFont="1" applyAlignment="1">
      <alignment horizontal="center"/>
    </xf>
    <xf numFmtId="165" fontId="4" fillId="7" borderId="2" xfId="0" applyNumberFormat="1" applyFont="1" applyFill="1" applyBorder="1" applyAlignment="1">
      <alignment horizontal="center" wrapText="1"/>
    </xf>
    <xf numFmtId="0" fontId="4" fillId="7" borderId="0" xfId="0" applyFont="1" applyFill="1" applyAlignment="1">
      <alignment horizontal="center"/>
    </xf>
    <xf numFmtId="0" fontId="4" fillId="7" borderId="0" xfId="0" applyFont="1" applyFill="1" applyAlignment="1">
      <alignment horizontal="center" wrapText="1"/>
    </xf>
    <xf numFmtId="165" fontId="4" fillId="8" borderId="2" xfId="0" applyNumberFormat="1" applyFont="1" applyFill="1" applyBorder="1" applyAlignment="1">
      <alignment horizontal="center" wrapText="1"/>
    </xf>
    <xf numFmtId="0" fontId="4" fillId="8" borderId="0" xfId="0" applyFont="1" applyFill="1" applyAlignment="1">
      <alignment horizontal="center"/>
    </xf>
    <xf numFmtId="165" fontId="4" fillId="17" borderId="2" xfId="0" applyNumberFormat="1" applyFont="1" applyFill="1" applyBorder="1" applyAlignment="1">
      <alignment horizontal="center" wrapText="1"/>
    </xf>
    <xf numFmtId="0" fontId="4" fillId="17" borderId="0" xfId="0" applyFont="1" applyFill="1" applyAlignment="1">
      <alignment horizontal="center"/>
    </xf>
    <xf numFmtId="0" fontId="4" fillId="17" borderId="0" xfId="0" applyFont="1" applyFill="1" applyAlignment="1">
      <alignment horizontal="center" wrapText="1"/>
    </xf>
    <xf numFmtId="165" fontId="4" fillId="18" borderId="2" xfId="0" applyNumberFormat="1" applyFont="1" applyFill="1" applyBorder="1" applyAlignment="1">
      <alignment horizontal="center" wrapText="1"/>
    </xf>
    <xf numFmtId="0" fontId="4" fillId="18" borderId="0" xfId="0" applyFont="1" applyFill="1" applyAlignment="1">
      <alignment horizontal="center"/>
    </xf>
    <xf numFmtId="0" fontId="4" fillId="18" borderId="0" xfId="0" applyFont="1" applyFill="1" applyAlignment="1">
      <alignment horizontal="center" wrapText="1"/>
    </xf>
    <xf numFmtId="0" fontId="4" fillId="0" borderId="0" xfId="0" applyFont="1" applyAlignment="1"/>
    <xf numFmtId="0" fontId="4" fillId="4" borderId="0" xfId="0" applyFont="1" applyFill="1" applyAlignment="1"/>
    <xf numFmtId="165" fontId="4" fillId="7" borderId="0" xfId="0" applyNumberFormat="1" applyFont="1" applyFill="1" applyBorder="1" applyAlignment="1">
      <alignment horizontal="center" wrapText="1"/>
    </xf>
    <xf numFmtId="165" fontId="4" fillId="8" borderId="0" xfId="0" applyNumberFormat="1" applyFont="1" applyFill="1" applyBorder="1" applyAlignment="1">
      <alignment horizontal="center" wrapText="1"/>
    </xf>
    <xf numFmtId="165" fontId="4" fillId="17" borderId="0" xfId="0" applyNumberFormat="1" applyFont="1" applyFill="1" applyBorder="1" applyAlignment="1">
      <alignment horizontal="center" wrapText="1"/>
    </xf>
    <xf numFmtId="165" fontId="4" fillId="18" borderId="0" xfId="0" applyNumberFormat="1" applyFont="1" applyFill="1" applyBorder="1" applyAlignment="1">
      <alignment horizontal="center" wrapText="1"/>
    </xf>
    <xf numFmtId="165" fontId="0" fillId="0" borderId="0" xfId="0" applyNumberFormat="1"/>
    <xf numFmtId="0" fontId="2" fillId="0" borderId="0" xfId="0" applyFont="1"/>
    <xf numFmtId="165" fontId="0" fillId="0" borderId="16" xfId="0" applyNumberFormat="1" applyBorder="1"/>
    <xf numFmtId="0" fontId="4" fillId="0" borderId="0" xfId="0" applyFont="1"/>
    <xf numFmtId="0" fontId="0" fillId="5" borderId="3" xfId="0" applyFill="1" applyBorder="1" applyAlignment="1"/>
    <xf numFmtId="0" fontId="2" fillId="16" borderId="0" xfId="0" applyFont="1" applyFill="1" applyAlignment="1">
      <alignment horizontal="center"/>
    </xf>
    <xf numFmtId="0" fontId="2" fillId="19" borderId="0" xfId="0" applyFont="1" applyFill="1" applyAlignment="1">
      <alignment horizontal="center"/>
    </xf>
    <xf numFmtId="0" fontId="2" fillId="7" borderId="0" xfId="0" applyFont="1" applyFill="1" applyAlignment="1">
      <alignment horizontal="center"/>
    </xf>
    <xf numFmtId="0" fontId="4" fillId="0" borderId="1" xfId="0" applyFont="1" applyBorder="1" applyAlignment="1">
      <alignment horizontal="center"/>
    </xf>
    <xf numFmtId="0" fontId="2" fillId="4" borderId="0" xfId="0" applyFont="1" applyFill="1" applyAlignment="1"/>
    <xf numFmtId="0" fontId="4" fillId="5" borderId="8" xfId="0" applyFont="1" applyFill="1" applyBorder="1" applyAlignment="1"/>
    <xf numFmtId="0" fontId="2" fillId="0" borderId="0" xfId="0" applyFont="1" applyAlignment="1">
      <alignment horizontal="center"/>
    </xf>
    <xf numFmtId="0" fontId="4" fillId="0" borderId="0" xfId="0" applyFont="1" applyAlignment="1">
      <alignment horizontal="center"/>
    </xf>
    <xf numFmtId="0" fontId="2" fillId="0" borderId="0" xfId="0" applyFont="1" applyAlignment="1"/>
    <xf numFmtId="0" fontId="2" fillId="13" borderId="16" xfId="0" applyFont="1" applyFill="1" applyBorder="1" applyAlignment="1"/>
    <xf numFmtId="165" fontId="0" fillId="13" borderId="16" xfId="0" applyNumberFormat="1" applyFill="1" applyBorder="1" applyAlignment="1"/>
    <xf numFmtId="165" fontId="4" fillId="13" borderId="2" xfId="0" applyNumberFormat="1" applyFont="1" applyFill="1" applyBorder="1" applyAlignment="1">
      <alignment horizontal="center" wrapText="1"/>
    </xf>
    <xf numFmtId="165" fontId="4" fillId="13" borderId="0" xfId="0" applyNumberFormat="1" applyFont="1" applyFill="1" applyBorder="1" applyAlignment="1">
      <alignment horizontal="center" wrapText="1"/>
    </xf>
    <xf numFmtId="0" fontId="4" fillId="13" borderId="0" xfId="0" applyFont="1" applyFill="1" applyAlignment="1">
      <alignment horizontal="center"/>
    </xf>
    <xf numFmtId="0" fontId="4" fillId="13" borderId="0" xfId="0" applyFont="1" applyFill="1" applyAlignment="1">
      <alignment horizontal="center" wrapText="1"/>
    </xf>
    <xf numFmtId="0" fontId="2" fillId="0" borderId="8" xfId="0" applyFont="1" applyBorder="1" applyAlignment="1"/>
    <xf numFmtId="0" fontId="2" fillId="0" borderId="2" xfId="0" applyFont="1" applyBorder="1"/>
    <xf numFmtId="0" fontId="2" fillId="0" borderId="2" xfId="0" applyFont="1" applyFill="1" applyBorder="1"/>
    <xf numFmtId="0" fontId="2" fillId="0" borderId="0" xfId="0" applyFont="1" applyAlignment="1">
      <alignment horizontal="center"/>
    </xf>
    <xf numFmtId="169" fontId="0" fillId="0" borderId="0" xfId="0" applyNumberFormat="1"/>
    <xf numFmtId="169" fontId="0" fillId="0" borderId="16" xfId="0" applyNumberFormat="1" applyBorder="1"/>
    <xf numFmtId="0" fontId="2" fillId="0" borderId="16" xfId="0" applyFont="1" applyBorder="1"/>
    <xf numFmtId="0" fontId="4" fillId="0" borderId="17" xfId="0" applyFont="1" applyBorder="1"/>
    <xf numFmtId="0" fontId="0" fillId="0" borderId="16" xfId="0" applyBorder="1"/>
    <xf numFmtId="0" fontId="0" fillId="0" borderId="18" xfId="0" applyBorder="1"/>
    <xf numFmtId="0" fontId="0" fillId="0" borderId="19" xfId="0" applyBorder="1"/>
    <xf numFmtId="0" fontId="2" fillId="0" borderId="0" xfId="0" applyFont="1" applyBorder="1" applyAlignment="1">
      <alignment horizontal="center"/>
    </xf>
    <xf numFmtId="0" fontId="2" fillId="0" borderId="20" xfId="0" applyFont="1" applyBorder="1" applyAlignment="1">
      <alignment horizontal="center"/>
    </xf>
    <xf numFmtId="0" fontId="4" fillId="0" borderId="19" xfId="0" applyFont="1" applyBorder="1"/>
    <xf numFmtId="0" fontId="0" fillId="0" borderId="0" xfId="0" applyBorder="1"/>
    <xf numFmtId="0" fontId="0" fillId="0" borderId="20" xfId="0" applyBorder="1"/>
    <xf numFmtId="169" fontId="0" fillId="0" borderId="0" xfId="0" applyNumberFormat="1" applyBorder="1"/>
    <xf numFmtId="169" fontId="0" fillId="0" borderId="20" xfId="0" applyNumberFormat="1" applyBorder="1"/>
    <xf numFmtId="0" fontId="2" fillId="0" borderId="19" xfId="0" applyFont="1" applyBorder="1"/>
    <xf numFmtId="0" fontId="2" fillId="0" borderId="17" xfId="0" applyFont="1" applyBorder="1"/>
    <xf numFmtId="169" fontId="0" fillId="0" borderId="18" xfId="0" applyNumberFormat="1" applyBorder="1"/>
    <xf numFmtId="0" fontId="2" fillId="0" borderId="21" xfId="0" applyFont="1" applyBorder="1"/>
    <xf numFmtId="169" fontId="0" fillId="0" borderId="22" xfId="0" applyNumberFormat="1" applyBorder="1"/>
    <xf numFmtId="169" fontId="0" fillId="0" borderId="23" xfId="0" applyNumberFormat="1" applyBorder="1"/>
    <xf numFmtId="0" fontId="4" fillId="0" borderId="16" xfId="0" applyFont="1" applyBorder="1"/>
    <xf numFmtId="0" fontId="4" fillId="0" borderId="0" xfId="0" applyFont="1" applyBorder="1"/>
    <xf numFmtId="0" fontId="2" fillId="0" borderId="0" xfId="0" applyFont="1" applyBorder="1"/>
    <xf numFmtId="0" fontId="2" fillId="0" borderId="22" xfId="0" applyFont="1" applyBorder="1"/>
    <xf numFmtId="0" fontId="2" fillId="0" borderId="16" xfId="0" applyFont="1" applyBorder="1" applyAlignment="1">
      <alignment horizontal="center"/>
    </xf>
    <xf numFmtId="0" fontId="0" fillId="0" borderId="0" xfId="0" applyBorder="1" applyAlignment="1">
      <alignment horizontal="center"/>
    </xf>
    <xf numFmtId="0" fontId="4" fillId="0" borderId="0" xfId="0" applyFont="1" applyBorder="1" applyAlignment="1">
      <alignment horizontal="center"/>
    </xf>
    <xf numFmtId="0" fontId="2" fillId="0" borderId="0" xfId="0" applyFont="1" applyFill="1" applyBorder="1" applyAlignment="1">
      <alignment horizontal="center"/>
    </xf>
    <xf numFmtId="169" fontId="4" fillId="0" borderId="16" xfId="0" applyNumberFormat="1" applyFont="1" applyBorder="1"/>
    <xf numFmtId="170" fontId="0" fillId="0" borderId="0" xfId="0" applyNumberFormat="1"/>
    <xf numFmtId="167" fontId="0" fillId="0" borderId="0" xfId="0" applyNumberFormat="1"/>
    <xf numFmtId="171" fontId="0" fillId="0" borderId="0" xfId="0" applyNumberFormat="1"/>
    <xf numFmtId="0" fontId="4" fillId="5" borderId="19" xfId="0" applyFont="1" applyFill="1" applyBorder="1"/>
    <xf numFmtId="0" fontId="4" fillId="19" borderId="19" xfId="0" applyFont="1" applyFill="1" applyBorder="1"/>
    <xf numFmtId="0" fontId="2" fillId="0" borderId="0" xfId="0" applyFont="1" applyFill="1" applyBorder="1"/>
    <xf numFmtId="0" fontId="0" fillId="0" borderId="18" xfId="0" applyBorder="1" applyAlignment="1">
      <alignment horizontal="center"/>
    </xf>
    <xf numFmtId="0" fontId="0" fillId="0" borderId="20" xfId="0" applyBorder="1" applyAlignment="1">
      <alignment horizontal="center"/>
    </xf>
    <xf numFmtId="171" fontId="0" fillId="0" borderId="20" xfId="0" applyNumberFormat="1" applyBorder="1"/>
    <xf numFmtId="0" fontId="4" fillId="0" borderId="18" xfId="0" applyFont="1" applyBorder="1" applyAlignment="1">
      <alignment horizontal="center"/>
    </xf>
    <xf numFmtId="0" fontId="4" fillId="0" borderId="21" xfId="0" applyFont="1" applyBorder="1" applyAlignment="1">
      <alignment horizontal="right"/>
    </xf>
    <xf numFmtId="171" fontId="4" fillId="0" borderId="23" xfId="0" applyNumberFormat="1" applyFont="1" applyBorder="1"/>
    <xf numFmtId="0" fontId="2" fillId="0" borderId="24" xfId="0" applyFont="1" applyBorder="1"/>
    <xf numFmtId="0" fontId="0" fillId="0" borderId="15" xfId="0" applyBorder="1"/>
    <xf numFmtId="9" fontId="0" fillId="0" borderId="15" xfId="0" applyNumberFormat="1" applyBorder="1"/>
    <xf numFmtId="0" fontId="0" fillId="0" borderId="9" xfId="0" applyBorder="1"/>
    <xf numFmtId="0" fontId="0" fillId="0" borderId="24" xfId="0" applyBorder="1"/>
    <xf numFmtId="165" fontId="0" fillId="13" borderId="0" xfId="1" applyNumberFormat="1" applyFont="1" applyFill="1" applyBorder="1" applyAlignment="1"/>
    <xf numFmtId="165" fontId="0" fillId="13" borderId="0" xfId="1" applyNumberFormat="1" applyFont="1" applyFill="1" applyBorder="1" applyAlignment="1">
      <alignment wrapText="1"/>
    </xf>
    <xf numFmtId="0" fontId="0" fillId="13" borderId="0" xfId="0" applyFill="1" applyBorder="1" applyAlignment="1">
      <alignment wrapText="1"/>
    </xf>
    <xf numFmtId="165" fontId="0" fillId="13" borderId="0" xfId="1" quotePrefix="1" applyNumberFormat="1" applyFont="1" applyFill="1" applyBorder="1" applyAlignment="1"/>
    <xf numFmtId="165" fontId="4" fillId="13" borderId="0" xfId="1" applyNumberFormat="1" applyFont="1" applyFill="1" applyBorder="1" applyAlignment="1"/>
    <xf numFmtId="165" fontId="7" fillId="13" borderId="0" xfId="1" applyNumberFormat="1" applyFont="1" applyFill="1" applyBorder="1" applyAlignment="1"/>
    <xf numFmtId="165" fontId="7" fillId="13" borderId="0" xfId="1" quotePrefix="1" applyNumberFormat="1" applyFont="1" applyFill="1" applyBorder="1" applyAlignment="1"/>
    <xf numFmtId="165" fontId="0" fillId="13" borderId="0" xfId="0" applyNumberFormat="1" applyFill="1" applyBorder="1" applyAlignment="1"/>
    <xf numFmtId="165" fontId="0" fillId="5" borderId="0" xfId="0" applyNumberFormat="1" applyFill="1" applyAlignment="1"/>
    <xf numFmtId="168" fontId="0" fillId="5" borderId="0" xfId="0" applyNumberFormat="1" applyFill="1" applyAlignment="1"/>
    <xf numFmtId="165" fontId="0" fillId="5" borderId="2" xfId="0" applyNumberFormat="1" applyFill="1" applyBorder="1" applyAlignment="1"/>
    <xf numFmtId="0" fontId="2" fillId="0" borderId="2" xfId="0" applyFont="1" applyBorder="1" applyAlignment="1">
      <alignment wrapText="1"/>
    </xf>
    <xf numFmtId="0" fontId="2" fillId="0" borderId="0" xfId="0" applyFont="1" applyBorder="1" applyAlignment="1"/>
    <xf numFmtId="165" fontId="0" fillId="21" borderId="0" xfId="0" applyNumberFormat="1" applyFill="1" applyAlignment="1"/>
    <xf numFmtId="0" fontId="0" fillId="0" borderId="25" xfId="0" applyBorder="1" applyAlignment="1"/>
    <xf numFmtId="164" fontId="0" fillId="0" borderId="25" xfId="0" applyNumberFormat="1" applyBorder="1" applyAlignment="1"/>
    <xf numFmtId="165" fontId="4" fillId="0" borderId="0" xfId="0" applyNumberFormat="1" applyFont="1" applyBorder="1"/>
    <xf numFmtId="0" fontId="0" fillId="0" borderId="25" xfId="0" applyFont="1" applyFill="1" applyBorder="1" applyAlignment="1"/>
    <xf numFmtId="164" fontId="0" fillId="0" borderId="34" xfId="0" applyNumberFormat="1" applyBorder="1" applyAlignment="1"/>
    <xf numFmtId="0" fontId="13" fillId="0" borderId="0" xfId="6" applyFont="1"/>
    <xf numFmtId="165" fontId="14" fillId="0" borderId="0" xfId="6" applyNumberFormat="1" applyFont="1" applyBorder="1"/>
    <xf numFmtId="165" fontId="14" fillId="0" borderId="0" xfId="6" applyNumberFormat="1" applyFont="1" applyBorder="1" applyAlignment="1">
      <alignment horizontal="center"/>
    </xf>
    <xf numFmtId="165" fontId="14" fillId="6" borderId="0" xfId="6" applyNumberFormat="1" applyFont="1" applyFill="1" applyBorder="1"/>
    <xf numFmtId="0" fontId="16" fillId="0" borderId="0" xfId="6" applyFont="1"/>
    <xf numFmtId="0" fontId="14" fillId="0" borderId="0" xfId="6" applyFont="1"/>
    <xf numFmtId="0" fontId="16" fillId="0" borderId="26" xfId="6" applyFont="1" applyBorder="1"/>
    <xf numFmtId="0" fontId="13" fillId="4" borderId="42" xfId="6" applyFont="1" applyFill="1" applyBorder="1" applyAlignment="1">
      <alignment horizontal="center"/>
    </xf>
    <xf numFmtId="0" fontId="16" fillId="23" borderId="27" xfId="6" applyFont="1" applyFill="1" applyBorder="1"/>
    <xf numFmtId="0" fontId="13" fillId="23" borderId="37" xfId="6" applyFont="1" applyFill="1" applyBorder="1" applyAlignment="1">
      <alignment horizontal="center" vertical="center"/>
    </xf>
    <xf numFmtId="0" fontId="13" fillId="23" borderId="43" xfId="6" applyFont="1" applyFill="1" applyBorder="1" applyAlignment="1">
      <alignment horizontal="center" vertical="center"/>
    </xf>
    <xf numFmtId="0" fontId="13" fillId="23" borderId="38" xfId="6" applyFont="1" applyFill="1" applyBorder="1" applyAlignment="1">
      <alignment horizontal="center" vertical="center"/>
    </xf>
    <xf numFmtId="0" fontId="13" fillId="4" borderId="44" xfId="6" applyFont="1" applyFill="1" applyBorder="1" applyAlignment="1">
      <alignment horizontal="center" vertical="center"/>
    </xf>
    <xf numFmtId="0" fontId="13" fillId="23" borderId="39" xfId="6" applyFont="1" applyFill="1" applyBorder="1" applyAlignment="1">
      <alignment horizontal="center" vertical="center"/>
    </xf>
    <xf numFmtId="0" fontId="13" fillId="23" borderId="0" xfId="6" applyFont="1" applyFill="1" applyBorder="1" applyAlignment="1">
      <alignment horizontal="center" vertical="center"/>
    </xf>
    <xf numFmtId="0" fontId="13" fillId="23" borderId="28" xfId="6" applyFont="1" applyFill="1" applyBorder="1" applyAlignment="1">
      <alignment horizontal="center" vertical="center"/>
    </xf>
    <xf numFmtId="0" fontId="14" fillId="8" borderId="27" xfId="6" applyFont="1" applyFill="1" applyBorder="1"/>
    <xf numFmtId="0" fontId="13" fillId="23" borderId="39" xfId="6" applyFont="1" applyFill="1" applyBorder="1"/>
    <xf numFmtId="0" fontId="13" fillId="23" borderId="0" xfId="6" applyFont="1" applyFill="1" applyBorder="1"/>
    <xf numFmtId="0" fontId="13" fillId="23" borderId="28" xfId="6" applyFont="1" applyFill="1" applyBorder="1"/>
    <xf numFmtId="0" fontId="13" fillId="4" borderId="44" xfId="6" applyFont="1" applyFill="1" applyBorder="1"/>
    <xf numFmtId="165" fontId="16" fillId="23" borderId="39" xfId="6" applyNumberFormat="1" applyFont="1" applyFill="1" applyBorder="1"/>
    <xf numFmtId="165" fontId="16" fillId="6" borderId="0" xfId="6" applyNumberFormat="1" applyFont="1" applyFill="1" applyBorder="1"/>
    <xf numFmtId="165" fontId="12" fillId="23" borderId="28" xfId="6" applyNumberFormat="1" applyFont="1" applyFill="1" applyBorder="1"/>
    <xf numFmtId="165" fontId="12" fillId="4" borderId="44" xfId="6" applyNumberFormat="1" applyFont="1" applyFill="1" applyBorder="1"/>
    <xf numFmtId="0" fontId="14" fillId="23" borderId="27" xfId="6" applyFont="1" applyFill="1" applyBorder="1"/>
    <xf numFmtId="165" fontId="14" fillId="23" borderId="39" xfId="6" applyNumberFormat="1" applyFont="1" applyFill="1" applyBorder="1"/>
    <xf numFmtId="165" fontId="16" fillId="6" borderId="39" xfId="6" applyNumberFormat="1" applyFont="1" applyFill="1" applyBorder="1"/>
    <xf numFmtId="165" fontId="16" fillId="23" borderId="9" xfId="6" applyNumberFormat="1" applyFont="1" applyFill="1" applyBorder="1"/>
    <xf numFmtId="165" fontId="12" fillId="23" borderId="33" xfId="6" applyNumberFormat="1" applyFont="1" applyFill="1" applyBorder="1"/>
    <xf numFmtId="0" fontId="13" fillId="8" borderId="45" xfId="6" applyFont="1" applyFill="1" applyBorder="1"/>
    <xf numFmtId="165" fontId="14" fillId="8" borderId="46" xfId="6" applyNumberFormat="1" applyFont="1" applyFill="1" applyBorder="1"/>
    <xf numFmtId="165" fontId="14" fillId="8" borderId="47" xfId="6" applyNumberFormat="1" applyFont="1" applyFill="1" applyBorder="1"/>
    <xf numFmtId="165" fontId="14" fillId="8" borderId="48" xfId="6" applyNumberFormat="1" applyFont="1" applyFill="1" applyBorder="1"/>
    <xf numFmtId="165" fontId="14" fillId="4" borderId="44" xfId="6" applyNumberFormat="1" applyFont="1" applyFill="1" applyBorder="1"/>
    <xf numFmtId="165" fontId="14" fillId="8" borderId="49" xfId="6" applyNumberFormat="1" applyFont="1" applyFill="1" applyBorder="1"/>
    <xf numFmtId="0" fontId="13" fillId="23" borderId="27" xfId="6" applyFont="1" applyFill="1" applyBorder="1"/>
    <xf numFmtId="165" fontId="14" fillId="23" borderId="0" xfId="6" applyNumberFormat="1" applyFont="1" applyFill="1" applyBorder="1"/>
    <xf numFmtId="165" fontId="14" fillId="23" borderId="28" xfId="6" applyNumberFormat="1" applyFont="1" applyFill="1" applyBorder="1"/>
    <xf numFmtId="165" fontId="14" fillId="23" borderId="50" xfId="6" applyNumberFormat="1" applyFont="1" applyFill="1" applyBorder="1"/>
    <xf numFmtId="165" fontId="14" fillId="23" borderId="33" xfId="6" applyNumberFormat="1" applyFont="1" applyFill="1" applyBorder="1"/>
    <xf numFmtId="0" fontId="14" fillId="24" borderId="27" xfId="6" applyFont="1" applyFill="1" applyBorder="1"/>
    <xf numFmtId="0" fontId="16" fillId="23" borderId="39" xfId="6" applyFont="1" applyFill="1" applyBorder="1"/>
    <xf numFmtId="0" fontId="16" fillId="23" borderId="0" xfId="6" applyFont="1" applyFill="1" applyBorder="1"/>
    <xf numFmtId="0" fontId="16" fillId="23" borderId="28" xfId="6" applyFont="1" applyFill="1" applyBorder="1"/>
    <xf numFmtId="0" fontId="16" fillId="4" borderId="44" xfId="6" applyFont="1" applyFill="1" applyBorder="1"/>
    <xf numFmtId="165" fontId="16" fillId="23" borderId="15" xfId="6" applyNumberFormat="1" applyFont="1" applyFill="1" applyBorder="1"/>
    <xf numFmtId="165" fontId="16" fillId="23" borderId="33" xfId="6" applyNumberFormat="1" applyFont="1" applyFill="1" applyBorder="1"/>
    <xf numFmtId="165" fontId="16" fillId="0" borderId="0" xfId="6" applyNumberFormat="1" applyFont="1"/>
    <xf numFmtId="0" fontId="16" fillId="6" borderId="39" xfId="6" applyFont="1" applyFill="1" applyBorder="1"/>
    <xf numFmtId="0" fontId="16" fillId="6" borderId="0" xfId="6" applyFont="1" applyFill="1" applyBorder="1"/>
    <xf numFmtId="165" fontId="16" fillId="6" borderId="28" xfId="6" applyNumberFormat="1" applyFont="1" applyFill="1" applyBorder="1"/>
    <xf numFmtId="0" fontId="13" fillId="0" borderId="46" xfId="6" applyFont="1" applyFill="1" applyBorder="1"/>
    <xf numFmtId="165" fontId="14" fillId="0" borderId="46" xfId="6" applyNumberFormat="1" applyFont="1" applyFill="1" applyBorder="1"/>
    <xf numFmtId="165" fontId="14" fillId="0" borderId="47" xfId="6" applyNumberFormat="1" applyFont="1" applyFill="1" applyBorder="1"/>
    <xf numFmtId="165" fontId="14" fillId="0" borderId="51" xfId="6" applyNumberFormat="1" applyFont="1" applyFill="1" applyBorder="1"/>
    <xf numFmtId="165" fontId="14" fillId="0" borderId="49" xfId="6" applyNumberFormat="1" applyFont="1" applyFill="1" applyBorder="1"/>
    <xf numFmtId="165" fontId="16" fillId="23" borderId="0" xfId="6" applyNumberFormat="1" applyFont="1" applyFill="1" applyBorder="1"/>
    <xf numFmtId="165" fontId="16" fillId="23" borderId="28" xfId="6" applyNumberFormat="1" applyFont="1" applyFill="1" applyBorder="1"/>
    <xf numFmtId="165" fontId="16" fillId="4" borderId="44" xfId="6" applyNumberFormat="1" applyFont="1" applyFill="1" applyBorder="1"/>
    <xf numFmtId="165" fontId="16" fillId="23" borderId="50" xfId="6" applyNumberFormat="1" applyFont="1" applyFill="1" applyBorder="1"/>
    <xf numFmtId="0" fontId="14" fillId="24" borderId="52" xfId="6" applyFont="1" applyFill="1" applyBorder="1"/>
    <xf numFmtId="165" fontId="16" fillId="24" borderId="53" xfId="6" applyNumberFormat="1" applyFont="1" applyFill="1" applyBorder="1"/>
    <xf numFmtId="165" fontId="16" fillId="24" borderId="54" xfId="6" applyNumberFormat="1" applyFont="1" applyFill="1" applyBorder="1"/>
    <xf numFmtId="165" fontId="16" fillId="24" borderId="55" xfId="6" applyNumberFormat="1" applyFont="1" applyFill="1" applyBorder="1"/>
    <xf numFmtId="0" fontId="13" fillId="25" borderId="29" xfId="6" applyFont="1" applyFill="1" applyBorder="1"/>
    <xf numFmtId="165" fontId="14" fillId="25" borderId="29" xfId="6" applyNumberFormat="1" applyFont="1" applyFill="1" applyBorder="1"/>
    <xf numFmtId="165" fontId="14" fillId="25" borderId="9" xfId="6" applyNumberFormat="1" applyFont="1" applyFill="1" applyBorder="1"/>
    <xf numFmtId="165" fontId="14" fillId="25" borderId="30" xfId="6" applyNumberFormat="1" applyFont="1" applyFill="1" applyBorder="1"/>
    <xf numFmtId="165" fontId="14" fillId="23" borderId="15" xfId="6" applyNumberFormat="1" applyFont="1" applyFill="1" applyBorder="1"/>
    <xf numFmtId="165" fontId="14" fillId="6" borderId="28" xfId="6" applyNumberFormat="1" applyFont="1" applyFill="1" applyBorder="1"/>
    <xf numFmtId="165" fontId="13" fillId="0" borderId="0" xfId="6" applyNumberFormat="1" applyFont="1"/>
    <xf numFmtId="165" fontId="14" fillId="0" borderId="0" xfId="6" applyNumberFormat="1" applyFont="1"/>
    <xf numFmtId="0" fontId="12" fillId="23" borderId="27" xfId="6" applyFont="1" applyFill="1" applyBorder="1"/>
    <xf numFmtId="165" fontId="14" fillId="6" borderId="39" xfId="6" applyNumberFormat="1" applyFont="1" applyFill="1" applyBorder="1"/>
    <xf numFmtId="0" fontId="13" fillId="23" borderId="31" xfId="6" applyFont="1" applyFill="1" applyBorder="1"/>
    <xf numFmtId="165" fontId="14" fillId="6" borderId="40" xfId="6" applyNumberFormat="1" applyFont="1" applyFill="1" applyBorder="1"/>
    <xf numFmtId="165" fontId="14" fillId="6" borderId="10" xfId="6" applyNumberFormat="1" applyFont="1" applyFill="1" applyBorder="1"/>
    <xf numFmtId="165" fontId="14" fillId="23" borderId="32" xfId="6" applyNumberFormat="1" applyFont="1" applyFill="1" applyBorder="1"/>
    <xf numFmtId="165" fontId="14" fillId="4" borderId="56" xfId="6" applyNumberFormat="1" applyFont="1" applyFill="1" applyBorder="1"/>
    <xf numFmtId="0" fontId="13" fillId="26" borderId="57" xfId="6" applyFont="1" applyFill="1" applyBorder="1" applyAlignment="1">
      <alignment horizontal="center"/>
    </xf>
    <xf numFmtId="0" fontId="13" fillId="26" borderId="33" xfId="6" applyFont="1" applyFill="1" applyBorder="1" applyAlignment="1">
      <alignment horizontal="center" vertical="center"/>
    </xf>
    <xf numFmtId="0" fontId="13" fillId="26" borderId="33" xfId="6" applyFont="1" applyFill="1" applyBorder="1"/>
    <xf numFmtId="0" fontId="13" fillId="23" borderId="50" xfId="6" applyFont="1" applyFill="1" applyBorder="1"/>
    <xf numFmtId="0" fontId="13" fillId="23" borderId="33" xfId="6" applyFont="1" applyFill="1" applyBorder="1"/>
    <xf numFmtId="165" fontId="16" fillId="6" borderId="19" xfId="6" applyNumberFormat="1" applyFont="1" applyFill="1" applyBorder="1"/>
    <xf numFmtId="165" fontId="16" fillId="26" borderId="33" xfId="6" applyNumberFormat="1" applyFont="1" applyFill="1" applyBorder="1"/>
    <xf numFmtId="165" fontId="14" fillId="6" borderId="19" xfId="6" applyNumberFormat="1" applyFont="1" applyFill="1" applyBorder="1"/>
    <xf numFmtId="165" fontId="14" fillId="26" borderId="33" xfId="6" applyNumberFormat="1" applyFont="1" applyFill="1" applyBorder="1"/>
    <xf numFmtId="165" fontId="16" fillId="23" borderId="30" xfId="6" applyNumberFormat="1" applyFont="1" applyFill="1" applyBorder="1"/>
    <xf numFmtId="165" fontId="17" fillId="6" borderId="0" xfId="6" applyNumberFormat="1" applyFont="1" applyFill="1" applyBorder="1"/>
    <xf numFmtId="0" fontId="17" fillId="6" borderId="0" xfId="6" applyFont="1" applyFill="1" applyBorder="1"/>
    <xf numFmtId="0" fontId="16" fillId="6" borderId="27" xfId="6" applyFont="1" applyFill="1" applyBorder="1"/>
    <xf numFmtId="0" fontId="13" fillId="23" borderId="46" xfId="6" applyFont="1" applyFill="1" applyBorder="1"/>
    <xf numFmtId="165" fontId="14" fillId="23" borderId="46" xfId="6" applyNumberFormat="1" applyFont="1" applyFill="1" applyBorder="1"/>
    <xf numFmtId="165" fontId="14" fillId="23" borderId="47" xfId="6" applyNumberFormat="1" applyFont="1" applyFill="1" applyBorder="1"/>
    <xf numFmtId="165" fontId="14" fillId="23" borderId="51" xfId="6" applyNumberFormat="1" applyFont="1" applyFill="1" applyBorder="1"/>
    <xf numFmtId="165" fontId="14" fillId="6" borderId="60" xfId="6" applyNumberFormat="1" applyFont="1" applyFill="1" applyBorder="1"/>
    <xf numFmtId="165" fontId="14" fillId="26" borderId="61" xfId="6" applyNumberFormat="1" applyFont="1" applyFill="1" applyBorder="1"/>
    <xf numFmtId="0" fontId="0" fillId="0" borderId="47" xfId="0" applyBorder="1" applyAlignment="1"/>
    <xf numFmtId="165" fontId="0" fillId="0" borderId="47" xfId="0" applyNumberFormat="1" applyBorder="1" applyAlignment="1">
      <alignment horizontal="center"/>
    </xf>
    <xf numFmtId="165" fontId="0" fillId="0" borderId="47" xfId="1" applyNumberFormat="1" applyFont="1" applyBorder="1" applyAlignment="1">
      <alignment horizontal="right"/>
    </xf>
    <xf numFmtId="165" fontId="0" fillId="0" borderId="47" xfId="0" applyNumberFormat="1" applyBorder="1" applyAlignment="1"/>
    <xf numFmtId="165" fontId="0" fillId="0" borderId="47" xfId="1" applyNumberFormat="1" applyFont="1" applyBorder="1" applyAlignment="1"/>
    <xf numFmtId="165" fontId="0" fillId="5" borderId="47" xfId="0" applyNumberFormat="1" applyFill="1" applyBorder="1" applyAlignment="1"/>
    <xf numFmtId="165" fontId="0" fillId="4" borderId="47" xfId="0" applyNumberFormat="1" applyFill="1" applyBorder="1" applyAlignment="1"/>
    <xf numFmtId="0" fontId="16" fillId="6" borderId="0" xfId="0" applyFont="1" applyFill="1" applyBorder="1"/>
    <xf numFmtId="165" fontId="12" fillId="23" borderId="28" xfId="0" applyNumberFormat="1" applyFont="1" applyFill="1" applyBorder="1"/>
    <xf numFmtId="165" fontId="12" fillId="4" borderId="44" xfId="0" applyNumberFormat="1" applyFont="1" applyFill="1" applyBorder="1"/>
    <xf numFmtId="165" fontId="16" fillId="23" borderId="39" xfId="0" applyNumberFormat="1" applyFont="1" applyFill="1" applyBorder="1"/>
    <xf numFmtId="165" fontId="16" fillId="0" borderId="39" xfId="0" applyNumberFormat="1" applyFont="1" applyFill="1" applyBorder="1"/>
    <xf numFmtId="165" fontId="16" fillId="6" borderId="0" xfId="0" applyNumberFormat="1" applyFont="1" applyFill="1" applyBorder="1"/>
    <xf numFmtId="165" fontId="0" fillId="2" borderId="47" xfId="1" applyNumberFormat="1" applyFont="1" applyFill="1" applyBorder="1" applyAlignment="1"/>
    <xf numFmtId="165" fontId="0" fillId="13" borderId="47" xfId="1" applyNumberFormat="1" applyFont="1" applyFill="1" applyBorder="1" applyAlignment="1"/>
    <xf numFmtId="0" fontId="2" fillId="0" borderId="47" xfId="0" applyFont="1" applyBorder="1" applyAlignment="1">
      <alignment wrapText="1"/>
    </xf>
    <xf numFmtId="0" fontId="2" fillId="0" borderId="47" xfId="0" applyFont="1" applyBorder="1"/>
    <xf numFmtId="0" fontId="0" fillId="0" borderId="62" xfId="0" applyBorder="1" applyAlignment="1"/>
    <xf numFmtId="164" fontId="0" fillId="0" borderId="62" xfId="0" applyNumberFormat="1" applyBorder="1" applyAlignment="1"/>
    <xf numFmtId="165" fontId="0" fillId="0" borderId="47" xfId="1" applyNumberFormat="1" applyFont="1" applyFill="1" applyBorder="1" applyAlignment="1"/>
    <xf numFmtId="0" fontId="2" fillId="0" borderId="47" xfId="0" applyFont="1" applyFill="1" applyBorder="1"/>
    <xf numFmtId="0" fontId="2" fillId="0" borderId="47" xfId="0" applyFont="1" applyBorder="1" applyAlignment="1"/>
    <xf numFmtId="165" fontId="18" fillId="6" borderId="0" xfId="6" applyNumberFormat="1" applyFont="1" applyFill="1" applyBorder="1"/>
    <xf numFmtId="3" fontId="0" fillId="0" borderId="0" xfId="0" applyNumberFormat="1"/>
    <xf numFmtId="3" fontId="4" fillId="0" borderId="65" xfId="0" applyNumberFormat="1" applyFont="1" applyBorder="1"/>
    <xf numFmtId="9" fontId="0" fillId="0" borderId="0" xfId="0" applyNumberFormat="1"/>
    <xf numFmtId="0" fontId="4" fillId="0" borderId="0" xfId="0" applyFont="1" applyAlignment="1">
      <alignment horizontal="center"/>
    </xf>
    <xf numFmtId="0" fontId="20" fillId="27" borderId="22" xfId="0" applyFont="1" applyFill="1" applyBorder="1"/>
    <xf numFmtId="0" fontId="2" fillId="0" borderId="63" xfId="0" applyFont="1" applyBorder="1"/>
    <xf numFmtId="0" fontId="20" fillId="27" borderId="50" xfId="0" applyFont="1" applyFill="1" applyBorder="1"/>
    <xf numFmtId="0" fontId="20" fillId="27" borderId="9" xfId="0" applyFont="1" applyFill="1" applyBorder="1"/>
    <xf numFmtId="0" fontId="20" fillId="27" borderId="63" xfId="0" applyFont="1" applyFill="1" applyBorder="1"/>
    <xf numFmtId="3" fontId="2" fillId="0" borderId="0" xfId="0" applyNumberFormat="1" applyFont="1" applyFill="1" applyBorder="1"/>
    <xf numFmtId="165" fontId="19" fillId="0" borderId="0" xfId="0" applyNumberFormat="1" applyFont="1" applyBorder="1" applyAlignment="1">
      <alignment horizontal="right" wrapText="1"/>
    </xf>
    <xf numFmtId="0" fontId="2" fillId="0" borderId="58" xfId="0" applyFont="1" applyBorder="1"/>
    <xf numFmtId="3" fontId="4" fillId="0" borderId="0" xfId="0" applyNumberFormat="1" applyFont="1" applyBorder="1"/>
    <xf numFmtId="0" fontId="2" fillId="0" borderId="50" xfId="0" applyFont="1" applyBorder="1"/>
    <xf numFmtId="0" fontId="2" fillId="0" borderId="15" xfId="0" applyFont="1" applyBorder="1"/>
    <xf numFmtId="0" fontId="2" fillId="0" borderId="9" xfId="0" applyFont="1" applyBorder="1"/>
    <xf numFmtId="165" fontId="14" fillId="0" borderId="39" xfId="6" applyNumberFormat="1" applyFont="1" applyFill="1" applyBorder="1"/>
    <xf numFmtId="0" fontId="13" fillId="0" borderId="45" xfId="6" applyFont="1" applyFill="1" applyBorder="1"/>
    <xf numFmtId="165" fontId="14" fillId="0" borderId="48" xfId="6" applyNumberFormat="1" applyFont="1" applyFill="1" applyBorder="1"/>
    <xf numFmtId="165" fontId="14" fillId="28" borderId="33" xfId="6" applyNumberFormat="1" applyFont="1" applyFill="1" applyBorder="1"/>
    <xf numFmtId="0" fontId="16" fillId="28" borderId="33" xfId="6" applyFont="1" applyFill="1" applyBorder="1"/>
    <xf numFmtId="165" fontId="16" fillId="28" borderId="33" xfId="6" applyNumberFormat="1" applyFont="1" applyFill="1" applyBorder="1"/>
    <xf numFmtId="0" fontId="20" fillId="0" borderId="0" xfId="0" applyFont="1" applyBorder="1" applyAlignment="1">
      <alignment horizontal="right"/>
    </xf>
    <xf numFmtId="0" fontId="19" fillId="0" borderId="0" xfId="0" applyFont="1" applyBorder="1"/>
    <xf numFmtId="0" fontId="14" fillId="23" borderId="52" xfId="6" applyFont="1" applyFill="1" applyBorder="1"/>
    <xf numFmtId="165" fontId="16" fillId="23" borderId="53" xfId="6" applyNumberFormat="1" applyFont="1" applyFill="1" applyBorder="1"/>
    <xf numFmtId="165" fontId="16" fillId="23" borderId="54" xfId="6" applyNumberFormat="1" applyFont="1" applyFill="1" applyBorder="1"/>
    <xf numFmtId="165" fontId="16" fillId="23" borderId="59" xfId="6" applyNumberFormat="1" applyFont="1" applyFill="1" applyBorder="1"/>
    <xf numFmtId="0" fontId="13" fillId="23" borderId="29" xfId="6" applyFont="1" applyFill="1" applyBorder="1"/>
    <xf numFmtId="165" fontId="14" fillId="23" borderId="29" xfId="6" applyNumberFormat="1" applyFont="1" applyFill="1" applyBorder="1"/>
    <xf numFmtId="165" fontId="14" fillId="23" borderId="9" xfId="6" applyNumberFormat="1" applyFont="1" applyFill="1" applyBorder="1"/>
    <xf numFmtId="165" fontId="14" fillId="23" borderId="30" xfId="6" applyNumberFormat="1" applyFont="1" applyFill="1" applyBorder="1"/>
    <xf numFmtId="3" fontId="4" fillId="0" borderId="0" xfId="0" applyNumberFormat="1" applyFont="1" applyFill="1" applyBorder="1"/>
    <xf numFmtId="3" fontId="4" fillId="6" borderId="0" xfId="0" applyNumberFormat="1" applyFont="1" applyFill="1" applyBorder="1"/>
    <xf numFmtId="0" fontId="11" fillId="0" borderId="0" xfId="0" applyFont="1" applyBorder="1"/>
    <xf numFmtId="3" fontId="4" fillId="3" borderId="22" xfId="0" applyNumberFormat="1" applyFont="1" applyFill="1" applyBorder="1"/>
    <xf numFmtId="3" fontId="4" fillId="3" borderId="58" xfId="0" applyNumberFormat="1" applyFont="1" applyFill="1" applyBorder="1"/>
    <xf numFmtId="165" fontId="22" fillId="6" borderId="39" xfId="6" applyNumberFormat="1" applyFont="1" applyFill="1" applyBorder="1"/>
    <xf numFmtId="3" fontId="2" fillId="0" borderId="68" xfId="0" applyNumberFormat="1" applyFont="1" applyFill="1" applyBorder="1"/>
    <xf numFmtId="0" fontId="20" fillId="27" borderId="19" xfId="0" applyFont="1" applyFill="1" applyBorder="1" applyAlignment="1">
      <alignment horizontal="center" wrapText="1"/>
    </xf>
    <xf numFmtId="0" fontId="20" fillId="27" borderId="0" xfId="0" applyFont="1" applyFill="1" applyBorder="1" applyAlignment="1">
      <alignment horizontal="center" wrapText="1"/>
    </xf>
    <xf numFmtId="0" fontId="20" fillId="27" borderId="0" xfId="0" applyFont="1" applyFill="1" applyBorder="1"/>
    <xf numFmtId="165" fontId="20" fillId="6" borderId="33" xfId="0" applyNumberFormat="1" applyFont="1" applyFill="1" applyBorder="1" applyAlignment="1">
      <alignment horizontal="right" wrapText="1"/>
    </xf>
    <xf numFmtId="165" fontId="2" fillId="25" borderId="27" xfId="0" applyNumberFormat="1" applyFont="1" applyFill="1" applyBorder="1"/>
    <xf numFmtId="165" fontId="4" fillId="6" borderId="33" xfId="0" applyNumberFormat="1" applyFont="1" applyFill="1" applyBorder="1"/>
    <xf numFmtId="0" fontId="20" fillId="27" borderId="64" xfId="0" applyFont="1" applyFill="1" applyBorder="1"/>
    <xf numFmtId="0" fontId="20" fillId="27" borderId="23" xfId="0" applyFont="1" applyFill="1" applyBorder="1"/>
    <xf numFmtId="0" fontId="11" fillId="0" borderId="20" xfId="0" applyFont="1" applyBorder="1"/>
    <xf numFmtId="0" fontId="11" fillId="0" borderId="64" xfId="0" applyFont="1" applyBorder="1"/>
    <xf numFmtId="0" fontId="11" fillId="0" borderId="67" xfId="0" applyFont="1" applyBorder="1"/>
    <xf numFmtId="0" fontId="19" fillId="0" borderId="64" xfId="0" applyFont="1" applyBorder="1"/>
    <xf numFmtId="0" fontId="11" fillId="0" borderId="23" xfId="0" applyFont="1" applyBorder="1"/>
    <xf numFmtId="0" fontId="11" fillId="0" borderId="68" xfId="0" applyFont="1" applyBorder="1"/>
    <xf numFmtId="3" fontId="21" fillId="0" borderId="68" xfId="0" applyNumberFormat="1" applyFont="1" applyFill="1" applyBorder="1"/>
    <xf numFmtId="3" fontId="2" fillId="0" borderId="0" xfId="0" applyNumberFormat="1" applyFont="1" applyFill="1" applyBorder="1" applyAlignment="1">
      <alignment vertical="center"/>
    </xf>
    <xf numFmtId="3" fontId="4" fillId="3" borderId="0" xfId="0" applyNumberFormat="1" applyFont="1" applyFill="1" applyBorder="1"/>
    <xf numFmtId="0" fontId="21" fillId="0" borderId="52" xfId="0" applyFont="1" applyBorder="1"/>
    <xf numFmtId="0" fontId="2" fillId="0" borderId="44" xfId="0" applyFont="1" applyBorder="1"/>
    <xf numFmtId="0" fontId="4" fillId="3" borderId="77" xfId="0" applyFont="1" applyFill="1" applyBorder="1"/>
    <xf numFmtId="0" fontId="2" fillId="0" borderId="44" xfId="0" applyFont="1" applyFill="1" applyBorder="1"/>
    <xf numFmtId="0" fontId="4" fillId="6" borderId="44" xfId="0" applyFont="1" applyFill="1" applyBorder="1"/>
    <xf numFmtId="0" fontId="4" fillId="0" borderId="44" xfId="0" applyFont="1" applyBorder="1"/>
    <xf numFmtId="0" fontId="4" fillId="0" borderId="44" xfId="0" applyFont="1" applyFill="1" applyBorder="1"/>
    <xf numFmtId="0" fontId="4" fillId="3" borderId="44" xfId="0" applyFont="1" applyFill="1" applyBorder="1"/>
    <xf numFmtId="0" fontId="2" fillId="0" borderId="52" xfId="0" applyFont="1" applyBorder="1"/>
    <xf numFmtId="0" fontId="20" fillId="3" borderId="78" xfId="0" applyFont="1" applyFill="1" applyBorder="1" applyAlignment="1">
      <alignment horizontal="right"/>
    </xf>
    <xf numFmtId="0" fontId="20" fillId="3" borderId="70" xfId="0" applyFont="1" applyFill="1" applyBorder="1" applyAlignment="1">
      <alignment horizontal="right"/>
    </xf>
    <xf numFmtId="165" fontId="2" fillId="0" borderId="27" xfId="0" applyNumberFormat="1" applyFont="1" applyFill="1" applyBorder="1"/>
    <xf numFmtId="165" fontId="19" fillId="0" borderId="27" xfId="0" applyNumberFormat="1" applyFont="1" applyFill="1" applyBorder="1" applyAlignment="1">
      <alignment horizontal="right" wrapText="1"/>
    </xf>
    <xf numFmtId="165" fontId="19" fillId="6" borderId="27" xfId="0" applyNumberFormat="1" applyFont="1" applyFill="1" applyBorder="1" applyAlignment="1">
      <alignment horizontal="right" wrapText="1"/>
    </xf>
    <xf numFmtId="165" fontId="19" fillId="6" borderId="33" xfId="0" applyNumberFormat="1" applyFont="1" applyFill="1" applyBorder="1" applyAlignment="1">
      <alignment horizontal="right" wrapText="1"/>
    </xf>
    <xf numFmtId="0" fontId="20" fillId="27" borderId="66" xfId="0" applyFont="1" applyFill="1" applyBorder="1" applyAlignment="1">
      <alignment horizontal="center" vertical="center" wrapText="1"/>
    </xf>
    <xf numFmtId="0" fontId="1" fillId="0" borderId="0" xfId="7"/>
    <xf numFmtId="9" fontId="2" fillId="31" borderId="0" xfId="8" applyNumberFormat="1" applyFill="1"/>
    <xf numFmtId="165" fontId="2" fillId="31" borderId="0" xfId="8" applyNumberFormat="1" applyFill="1"/>
    <xf numFmtId="167" fontId="2" fillId="31" borderId="0" xfId="8" applyNumberFormat="1" applyFill="1"/>
    <xf numFmtId="0" fontId="4" fillId="31" borderId="0" xfId="8" applyFont="1" applyFill="1" applyBorder="1" applyAlignment="1">
      <alignment horizontal="left"/>
    </xf>
    <xf numFmtId="0" fontId="2" fillId="32" borderId="0" xfId="8" applyFill="1"/>
    <xf numFmtId="165" fontId="2" fillId="31" borderId="0" xfId="8" applyNumberFormat="1" applyFill="1" applyBorder="1"/>
    <xf numFmtId="165" fontId="2" fillId="33" borderId="69" xfId="8" applyNumberFormat="1" applyFill="1" applyBorder="1"/>
    <xf numFmtId="0" fontId="4" fillId="33" borderId="69" xfId="8" applyFont="1" applyFill="1" applyBorder="1" applyAlignment="1">
      <alignment horizontal="left"/>
    </xf>
    <xf numFmtId="165" fontId="2" fillId="33" borderId="0" xfId="8" applyNumberFormat="1" applyFill="1" applyBorder="1"/>
    <xf numFmtId="0" fontId="4" fillId="33" borderId="0" xfId="8" applyFont="1" applyFill="1" applyBorder="1" applyAlignment="1">
      <alignment horizontal="left"/>
    </xf>
    <xf numFmtId="165" fontId="2" fillId="33" borderId="79" xfId="8" applyNumberFormat="1" applyFill="1" applyBorder="1"/>
    <xf numFmtId="0" fontId="4" fillId="33" borderId="79" xfId="8" applyFont="1" applyFill="1" applyBorder="1" applyAlignment="1">
      <alignment horizontal="left"/>
    </xf>
    <xf numFmtId="165" fontId="2" fillId="32" borderId="0" xfId="8" applyNumberFormat="1" applyFill="1" applyBorder="1"/>
    <xf numFmtId="165" fontId="2" fillId="0" borderId="0" xfId="8" applyNumberFormat="1" applyFill="1" applyBorder="1"/>
    <xf numFmtId="0" fontId="2" fillId="32" borderId="0" xfId="8" applyFont="1" applyFill="1" applyBorder="1"/>
    <xf numFmtId="165" fontId="2" fillId="34" borderId="79" xfId="8" applyNumberFormat="1" applyFill="1" applyBorder="1"/>
    <xf numFmtId="0" fontId="4" fillId="34" borderId="79" xfId="8" applyFont="1" applyFill="1" applyBorder="1"/>
    <xf numFmtId="165" fontId="2" fillId="32" borderId="0" xfId="8" applyNumberFormat="1" applyFill="1"/>
    <xf numFmtId="165" fontId="2" fillId="32" borderId="79" xfId="8" applyNumberFormat="1" applyFill="1" applyBorder="1"/>
    <xf numFmtId="0" fontId="4" fillId="32" borderId="79" xfId="8" applyFont="1" applyFill="1" applyBorder="1"/>
    <xf numFmtId="0" fontId="2" fillId="23" borderId="0" xfId="8" applyFill="1"/>
    <xf numFmtId="0" fontId="2" fillId="23" borderId="0" xfId="8" applyFill="1" applyAlignment="1">
      <alignment wrapText="1"/>
    </xf>
    <xf numFmtId="0" fontId="4" fillId="32" borderId="0" xfId="8" applyFont="1" applyFill="1"/>
    <xf numFmtId="0" fontId="2" fillId="32" borderId="0" xfId="8" applyFill="1" applyBorder="1"/>
    <xf numFmtId="0" fontId="2" fillId="32" borderId="0" xfId="8" applyFont="1" applyFill="1"/>
    <xf numFmtId="0" fontId="4" fillId="32" borderId="0" xfId="8" applyFont="1" applyFill="1" applyBorder="1"/>
    <xf numFmtId="0" fontId="4" fillId="32" borderId="0" xfId="8" applyFont="1" applyFill="1" applyAlignment="1">
      <alignment horizontal="center"/>
    </xf>
    <xf numFmtId="0" fontId="10" fillId="32" borderId="0" xfId="8" applyFont="1" applyFill="1"/>
    <xf numFmtId="165" fontId="19" fillId="13" borderId="15" xfId="0" applyNumberFormat="1" applyFont="1" applyFill="1" applyBorder="1" applyAlignment="1">
      <alignment horizontal="right" wrapText="1"/>
    </xf>
    <xf numFmtId="0" fontId="10" fillId="0" borderId="0" xfId="0" applyFont="1" applyAlignment="1">
      <alignment horizontal="center"/>
    </xf>
    <xf numFmtId="165" fontId="2" fillId="0" borderId="79" xfId="8" applyNumberFormat="1" applyFill="1" applyBorder="1"/>
    <xf numFmtId="165" fontId="2" fillId="0" borderId="0" xfId="8" applyNumberFormat="1" applyFill="1"/>
    <xf numFmtId="165" fontId="2" fillId="0" borderId="0" xfId="8" applyNumberFormat="1" applyFont="1" applyFill="1" applyAlignment="1">
      <alignment wrapText="1"/>
    </xf>
    <xf numFmtId="165" fontId="16" fillId="0" borderId="0" xfId="6" applyNumberFormat="1" applyFont="1" applyFill="1" applyBorder="1"/>
    <xf numFmtId="0" fontId="2" fillId="36" borderId="45" xfId="0" applyFont="1" applyFill="1" applyBorder="1"/>
    <xf numFmtId="3" fontId="2" fillId="36" borderId="68" xfId="0" applyNumberFormat="1" applyFont="1" applyFill="1" applyBorder="1"/>
    <xf numFmtId="165" fontId="16" fillId="0" borderId="39" xfId="6" applyNumberFormat="1" applyFont="1" applyFill="1" applyBorder="1"/>
    <xf numFmtId="165" fontId="1" fillId="0" borderId="0" xfId="7" applyNumberFormat="1"/>
    <xf numFmtId="3" fontId="2" fillId="0" borderId="72" xfId="0" applyNumberFormat="1" applyFont="1" applyFill="1" applyBorder="1" applyAlignment="1">
      <alignment horizontal="center"/>
    </xf>
    <xf numFmtId="3" fontId="2" fillId="0" borderId="50" xfId="0" applyNumberFormat="1" applyFont="1" applyFill="1" applyBorder="1" applyAlignment="1">
      <alignment horizontal="center"/>
    </xf>
    <xf numFmtId="3" fontId="2" fillId="0" borderId="73" xfId="0" applyNumberFormat="1" applyFont="1" applyFill="1" applyBorder="1" applyAlignment="1">
      <alignment horizontal="center"/>
    </xf>
    <xf numFmtId="165" fontId="4" fillId="0" borderId="27" xfId="0" applyNumberFormat="1" applyFont="1" applyFill="1" applyBorder="1"/>
    <xf numFmtId="165" fontId="4" fillId="0" borderId="15" xfId="0" applyNumberFormat="1" applyFont="1" applyFill="1" applyBorder="1"/>
    <xf numFmtId="165" fontId="4" fillId="6" borderId="33" xfId="0" applyNumberFormat="1" applyFont="1" applyFill="1" applyBorder="1" applyAlignment="1">
      <alignment horizontal="right"/>
    </xf>
    <xf numFmtId="165" fontId="4" fillId="3" borderId="29" xfId="0" applyNumberFormat="1" applyFont="1" applyFill="1" applyBorder="1" applyAlignment="1">
      <alignment horizontal="right"/>
    </xf>
    <xf numFmtId="165" fontId="4" fillId="3" borderId="9" xfId="0" applyNumberFormat="1" applyFont="1" applyFill="1" applyBorder="1" applyAlignment="1">
      <alignment horizontal="right"/>
    </xf>
    <xf numFmtId="165" fontId="4" fillId="3" borderId="74" xfId="0" applyNumberFormat="1" applyFont="1" applyFill="1" applyBorder="1" applyAlignment="1">
      <alignment horizontal="right"/>
    </xf>
    <xf numFmtId="165" fontId="2" fillId="0" borderId="15" xfId="0" applyNumberFormat="1" applyFont="1" applyFill="1" applyBorder="1"/>
    <xf numFmtId="165" fontId="2" fillId="0" borderId="33" xfId="0" applyNumberFormat="1" applyFont="1" applyFill="1" applyBorder="1"/>
    <xf numFmtId="165" fontId="2" fillId="0" borderId="72" xfId="0" applyNumberFormat="1" applyFont="1" applyFill="1" applyBorder="1"/>
    <xf numFmtId="165" fontId="2" fillId="0" borderId="50" xfId="0" applyNumberFormat="1" applyFont="1" applyFill="1" applyBorder="1"/>
    <xf numFmtId="165" fontId="2" fillId="0" borderId="73" xfId="0" applyNumberFormat="1" applyFont="1" applyFill="1" applyBorder="1"/>
    <xf numFmtId="165" fontId="2" fillId="0" borderId="27" xfId="0" applyNumberFormat="1" applyFont="1" applyFill="1" applyBorder="1" applyAlignment="1">
      <alignment horizontal="right"/>
    </xf>
    <xf numFmtId="165" fontId="2" fillId="0" borderId="15" xfId="0" applyNumberFormat="1" applyFont="1" applyFill="1" applyBorder="1" applyAlignment="1">
      <alignment horizontal="right"/>
    </xf>
    <xf numFmtId="165" fontId="4" fillId="3" borderId="29" xfId="0" applyNumberFormat="1" applyFont="1" applyFill="1" applyBorder="1"/>
    <xf numFmtId="165" fontId="4" fillId="3" borderId="9" xfId="0" applyNumberFormat="1" applyFont="1" applyFill="1" applyBorder="1"/>
    <xf numFmtId="165" fontId="4" fillId="3" borderId="74" xfId="0" applyNumberFormat="1" applyFont="1" applyFill="1" applyBorder="1"/>
    <xf numFmtId="165" fontId="4" fillId="3" borderId="27" xfId="0" applyNumberFormat="1" applyFont="1" applyFill="1" applyBorder="1"/>
    <xf numFmtId="165" fontId="4" fillId="3" borderId="15" xfId="0" applyNumberFormat="1" applyFont="1" applyFill="1" applyBorder="1"/>
    <xf numFmtId="165" fontId="4" fillId="3" borderId="33" xfId="0" applyNumberFormat="1" applyFont="1" applyFill="1" applyBorder="1"/>
    <xf numFmtId="165" fontId="4" fillId="3" borderId="27" xfId="0" applyNumberFormat="1" applyFont="1" applyFill="1" applyBorder="1" applyAlignment="1">
      <alignment horizontal="right"/>
    </xf>
    <xf numFmtId="165" fontId="2" fillId="36" borderId="72" xfId="0" applyNumberFormat="1" applyFont="1" applyFill="1" applyBorder="1"/>
    <xf numFmtId="165" fontId="2" fillId="36" borderId="50" xfId="0" applyNumberFormat="1" applyFont="1" applyFill="1" applyBorder="1"/>
    <xf numFmtId="165" fontId="2" fillId="36" borderId="73" xfId="0" applyNumberFormat="1" applyFont="1" applyFill="1" applyBorder="1"/>
    <xf numFmtId="165" fontId="4" fillId="6" borderId="27" xfId="0" applyNumberFormat="1" applyFont="1" applyFill="1" applyBorder="1"/>
    <xf numFmtId="165" fontId="4" fillId="6" borderId="15" xfId="0" applyNumberFormat="1" applyFont="1" applyFill="1" applyBorder="1"/>
    <xf numFmtId="165" fontId="4" fillId="0" borderId="33" xfId="0" applyNumberFormat="1" applyFont="1" applyFill="1" applyBorder="1"/>
    <xf numFmtId="165" fontId="4" fillId="6" borderId="27" xfId="0" applyNumberFormat="1" applyFont="1" applyFill="1" applyBorder="1" applyAlignment="1">
      <alignment horizontal="right"/>
    </xf>
    <xf numFmtId="165" fontId="4" fillId="6" borderId="15" xfId="0" applyNumberFormat="1" applyFont="1" applyFill="1" applyBorder="1" applyAlignment="1">
      <alignment horizontal="right"/>
    </xf>
    <xf numFmtId="165" fontId="4" fillId="3" borderId="15" xfId="0" applyNumberFormat="1" applyFont="1" applyFill="1" applyBorder="1" applyAlignment="1">
      <alignment horizontal="right"/>
    </xf>
    <xf numFmtId="165" fontId="4" fillId="3" borderId="33" xfId="0" applyNumberFormat="1" applyFont="1" applyFill="1" applyBorder="1" applyAlignment="1">
      <alignment horizontal="right"/>
    </xf>
    <xf numFmtId="165" fontId="4" fillId="3" borderId="75" xfId="0" applyNumberFormat="1" applyFont="1" applyFill="1" applyBorder="1"/>
    <xf numFmtId="165" fontId="4" fillId="3" borderId="11" xfId="0" applyNumberFormat="1" applyFont="1" applyFill="1" applyBorder="1"/>
    <xf numFmtId="165" fontId="4" fillId="3" borderId="76" xfId="0" applyNumberFormat="1" applyFont="1" applyFill="1" applyBorder="1"/>
    <xf numFmtId="165" fontId="20" fillId="3" borderId="35" xfId="0" applyNumberFormat="1" applyFont="1" applyFill="1" applyBorder="1"/>
    <xf numFmtId="165" fontId="20" fillId="3" borderId="41" xfId="0" applyNumberFormat="1" applyFont="1" applyFill="1" applyBorder="1"/>
    <xf numFmtId="165" fontId="20" fillId="3" borderId="36" xfId="0" applyNumberFormat="1" applyFont="1" applyFill="1" applyBorder="1"/>
    <xf numFmtId="165" fontId="20" fillId="0" borderId="0" xfId="0" applyNumberFormat="1" applyFont="1" applyBorder="1"/>
    <xf numFmtId="0" fontId="15" fillId="0" borderId="0" xfId="7" applyFont="1"/>
    <xf numFmtId="0" fontId="26" fillId="29" borderId="80" xfId="7" applyFont="1" applyFill="1" applyBorder="1" applyAlignment="1">
      <alignment wrapText="1"/>
    </xf>
    <xf numFmtId="0" fontId="26" fillId="29" borderId="81" xfId="7" applyFont="1" applyFill="1" applyBorder="1" applyAlignment="1">
      <alignment wrapText="1"/>
    </xf>
    <xf numFmtId="0" fontId="27" fillId="0" borderId="0" xfId="7" applyFont="1"/>
    <xf numFmtId="0" fontId="26" fillId="0" borderId="82" xfId="7" applyFont="1" applyFill="1" applyBorder="1" applyAlignment="1">
      <alignment wrapText="1"/>
    </xf>
    <xf numFmtId="0" fontId="25" fillId="0" borderId="80" xfId="7" applyFont="1" applyFill="1" applyBorder="1" applyAlignment="1">
      <alignment horizontal="center" wrapText="1"/>
    </xf>
    <xf numFmtId="3" fontId="27" fillId="0" borderId="82" xfId="7" applyNumberFormat="1" applyFont="1" applyBorder="1"/>
    <xf numFmtId="172" fontId="27" fillId="0" borderId="81" xfId="7" applyNumberFormat="1" applyFont="1" applyBorder="1"/>
    <xf numFmtId="172" fontId="27" fillId="0" borderId="82" xfId="7" applyNumberFormat="1" applyFont="1" applyBorder="1"/>
    <xf numFmtId="0" fontId="28" fillId="0" borderId="83" xfId="7" applyFont="1" applyBorder="1"/>
    <xf numFmtId="172" fontId="28" fillId="0" borderId="83" xfId="7" applyNumberFormat="1" applyFont="1" applyBorder="1"/>
    <xf numFmtId="164" fontId="27" fillId="0" borderId="81" xfId="7" applyNumberFormat="1" applyFont="1" applyBorder="1"/>
    <xf numFmtId="164" fontId="27" fillId="0" borderId="82" xfId="7" applyNumberFormat="1" applyFont="1" applyBorder="1"/>
    <xf numFmtId="164" fontId="28" fillId="0" borderId="83" xfId="7" applyNumberFormat="1" applyFont="1" applyBorder="1"/>
    <xf numFmtId="3" fontId="27" fillId="0" borderId="0" xfId="7" applyNumberFormat="1" applyFont="1" applyFill="1" applyBorder="1"/>
    <xf numFmtId="2" fontId="12" fillId="0" borderId="0" xfId="7" applyNumberFormat="1" applyFont="1" applyAlignment="1">
      <alignment vertical="top" wrapText="1"/>
    </xf>
    <xf numFmtId="2" fontId="29" fillId="7" borderId="47" xfId="7" applyNumberFormat="1" applyFont="1" applyFill="1" applyBorder="1" applyAlignment="1">
      <alignment horizontal="center" vertical="top" wrapText="1"/>
    </xf>
    <xf numFmtId="2" fontId="29" fillId="22" borderId="47" xfId="7" applyNumberFormat="1" applyFont="1" applyFill="1" applyBorder="1" applyAlignment="1">
      <alignment horizontal="center" vertical="top" wrapText="1"/>
    </xf>
    <xf numFmtId="2" fontId="29" fillId="9" borderId="47" xfId="7" applyNumberFormat="1" applyFont="1" applyFill="1" applyBorder="1" applyAlignment="1">
      <alignment horizontal="center" vertical="top" wrapText="1"/>
    </xf>
    <xf numFmtId="0" fontId="30" fillId="0" borderId="0" xfId="7" applyFont="1"/>
    <xf numFmtId="2" fontId="13" fillId="6" borderId="47" xfId="7" applyNumberFormat="1" applyFont="1" applyFill="1" applyBorder="1" applyAlignment="1">
      <alignment vertical="top" wrapText="1"/>
    </xf>
    <xf numFmtId="2" fontId="12" fillId="0" borderId="47" xfId="7" applyNumberFormat="1" applyFont="1" applyBorder="1" applyAlignment="1">
      <alignment vertical="top" wrapText="1"/>
    </xf>
    <xf numFmtId="0" fontId="12" fillId="0" borderId="0" xfId="7" applyFont="1"/>
    <xf numFmtId="2" fontId="31" fillId="0" borderId="47" xfId="7" applyNumberFormat="1" applyFont="1" applyBorder="1" applyAlignment="1">
      <alignment vertical="top" wrapText="1"/>
    </xf>
    <xf numFmtId="6" fontId="12" fillId="0" borderId="47" xfId="7" applyNumberFormat="1" applyFont="1" applyBorder="1" applyAlignment="1">
      <alignment horizontal="left" vertical="top" wrapText="1"/>
    </xf>
    <xf numFmtId="0" fontId="32" fillId="0" borderId="0" xfId="7" applyFont="1" applyAlignment="1">
      <alignment vertical="center"/>
    </xf>
    <xf numFmtId="0" fontId="33" fillId="0" borderId="0" xfId="7" applyFont="1" applyAlignment="1">
      <alignment vertical="center"/>
    </xf>
    <xf numFmtId="0" fontId="24" fillId="0" borderId="0" xfId="7" applyFont="1" applyAlignment="1">
      <alignment horizontal="left"/>
    </xf>
    <xf numFmtId="0" fontId="1" fillId="0" borderId="0" xfId="7" applyAlignment="1">
      <alignment horizontal="center"/>
    </xf>
    <xf numFmtId="0" fontId="24" fillId="0" borderId="0" xfId="7" applyFont="1"/>
    <xf numFmtId="3" fontId="1" fillId="0" borderId="0" xfId="7" applyNumberFormat="1" applyAlignment="1">
      <alignment wrapText="1"/>
    </xf>
    <xf numFmtId="3" fontId="1" fillId="0" borderId="0" xfId="7" applyNumberFormat="1"/>
    <xf numFmtId="0" fontId="24" fillId="0" borderId="0" xfId="7" applyFont="1" applyAlignment="1">
      <alignment horizontal="right"/>
    </xf>
    <xf numFmtId="0" fontId="34" fillId="0" borderId="0" xfId="7" applyFont="1"/>
    <xf numFmtId="0" fontId="1" fillId="0" borderId="0" xfId="7" applyFont="1"/>
    <xf numFmtId="3" fontId="1" fillId="0" borderId="0" xfId="7" applyNumberFormat="1" applyFill="1"/>
    <xf numFmtId="0" fontId="1" fillId="0" borderId="0" xfId="7" applyFont="1" applyAlignment="1">
      <alignment horizontal="center"/>
    </xf>
    <xf numFmtId="6" fontId="1" fillId="0" borderId="0" xfId="7" applyNumberFormat="1" applyAlignment="1">
      <alignment horizontal="center"/>
    </xf>
    <xf numFmtId="0" fontId="34" fillId="0" borderId="0" xfId="7" applyFont="1" applyAlignment="1">
      <alignment horizontal="center"/>
    </xf>
    <xf numFmtId="0" fontId="1" fillId="0" borderId="0" xfId="7" applyAlignment="1">
      <alignment horizontal="right"/>
    </xf>
    <xf numFmtId="3" fontId="23" fillId="0" borderId="0" xfId="7" applyNumberFormat="1" applyFont="1"/>
    <xf numFmtId="0" fontId="24" fillId="0" borderId="0" xfId="7" applyFont="1" applyAlignment="1">
      <alignment horizontal="center"/>
    </xf>
    <xf numFmtId="0" fontId="36" fillId="0" borderId="0" xfId="7" applyFont="1" applyAlignment="1">
      <alignment horizontal="left"/>
    </xf>
    <xf numFmtId="3" fontId="24" fillId="0" borderId="69" xfId="7" applyNumberFormat="1" applyFont="1" applyBorder="1"/>
    <xf numFmtId="0" fontId="38" fillId="0" borderId="0" xfId="6" applyFont="1"/>
    <xf numFmtId="0" fontId="16" fillId="3" borderId="35" xfId="6" applyFont="1" applyFill="1" applyBorder="1" applyAlignment="1">
      <alignment horizontal="center"/>
    </xf>
    <xf numFmtId="0" fontId="16" fillId="3" borderId="41" xfId="6" applyFont="1" applyFill="1" applyBorder="1" applyAlignment="1">
      <alignment horizontal="center"/>
    </xf>
    <xf numFmtId="0" fontId="16" fillId="3" borderId="36" xfId="6" applyFont="1" applyFill="1" applyBorder="1" applyAlignment="1">
      <alignment horizontal="center"/>
    </xf>
    <xf numFmtId="0" fontId="16" fillId="20" borderId="35" xfId="6" applyFont="1" applyFill="1" applyBorder="1" applyAlignment="1">
      <alignment horizontal="center"/>
    </xf>
    <xf numFmtId="0" fontId="16" fillId="20" borderId="41" xfId="6" applyFont="1" applyFill="1" applyBorder="1" applyAlignment="1">
      <alignment horizontal="center"/>
    </xf>
    <xf numFmtId="0" fontId="16" fillId="20" borderId="36" xfId="6" applyFont="1" applyFill="1" applyBorder="1" applyAlignment="1">
      <alignment horizontal="center"/>
    </xf>
    <xf numFmtId="0" fontId="13" fillId="7" borderId="35" xfId="6" applyFont="1" applyFill="1" applyBorder="1" applyAlignment="1">
      <alignment horizontal="center"/>
    </xf>
    <xf numFmtId="0" fontId="13" fillId="7" borderId="41" xfId="6" applyFont="1" applyFill="1" applyBorder="1" applyAlignment="1">
      <alignment horizontal="center"/>
    </xf>
    <xf numFmtId="0" fontId="13" fillId="7" borderId="36" xfId="6" applyFont="1" applyFill="1" applyBorder="1" applyAlignment="1">
      <alignment horizontal="center"/>
    </xf>
    <xf numFmtId="0" fontId="13" fillId="8" borderId="35" xfId="6" applyFont="1" applyFill="1" applyBorder="1" applyAlignment="1">
      <alignment horizontal="center"/>
    </xf>
    <xf numFmtId="0" fontId="13" fillId="8" borderId="41" xfId="6" applyFont="1" applyFill="1" applyBorder="1" applyAlignment="1">
      <alignment horizontal="center"/>
    </xf>
    <xf numFmtId="0" fontId="13" fillId="8" borderId="36" xfId="6" applyFont="1" applyFill="1" applyBorder="1" applyAlignment="1">
      <alignment horizontal="center"/>
    </xf>
    <xf numFmtId="0" fontId="13" fillId="17" borderId="35" xfId="6" applyFont="1" applyFill="1" applyBorder="1" applyAlignment="1">
      <alignment horizontal="center"/>
    </xf>
    <xf numFmtId="0" fontId="13" fillId="17" borderId="41" xfId="6" applyFont="1" applyFill="1" applyBorder="1" applyAlignment="1">
      <alignment horizontal="center"/>
    </xf>
    <xf numFmtId="0" fontId="13" fillId="17" borderId="36" xfId="6" applyFont="1" applyFill="1" applyBorder="1" applyAlignment="1">
      <alignment horizontal="center"/>
    </xf>
    <xf numFmtId="0" fontId="13" fillId="18" borderId="35" xfId="6" applyFont="1" applyFill="1" applyBorder="1" applyAlignment="1">
      <alignment horizontal="center"/>
    </xf>
    <xf numFmtId="0" fontId="13" fillId="18" borderId="41" xfId="6" applyFont="1" applyFill="1" applyBorder="1" applyAlignment="1">
      <alignment horizontal="center"/>
    </xf>
    <xf numFmtId="0" fontId="13" fillId="18" borderId="36" xfId="6" applyFont="1" applyFill="1" applyBorder="1" applyAlignment="1">
      <alignment horizontal="center"/>
    </xf>
    <xf numFmtId="0" fontId="13" fillId="13" borderId="35" xfId="6" applyFont="1" applyFill="1" applyBorder="1" applyAlignment="1">
      <alignment horizontal="center"/>
    </xf>
    <xf numFmtId="0" fontId="13" fillId="13" borderId="41" xfId="6" applyFont="1" applyFill="1" applyBorder="1" applyAlignment="1">
      <alignment horizontal="center"/>
    </xf>
    <xf numFmtId="0" fontId="13" fillId="13" borderId="36" xfId="6" applyFont="1" applyFill="1" applyBorder="1" applyAlignment="1">
      <alignment horizontal="center"/>
    </xf>
    <xf numFmtId="0" fontId="4" fillId="35" borderId="0" xfId="8" applyFont="1" applyFill="1" applyAlignment="1">
      <alignment horizontal="center"/>
    </xf>
    <xf numFmtId="0" fontId="20" fillId="27" borderId="42" xfId="0" applyFont="1" applyFill="1" applyBorder="1" applyAlignment="1">
      <alignment horizontal="left"/>
    </xf>
    <xf numFmtId="0" fontId="20" fillId="27" borderId="44" xfId="0" applyFont="1" applyFill="1" applyBorder="1" applyAlignment="1">
      <alignment horizontal="left"/>
    </xf>
    <xf numFmtId="0" fontId="20" fillId="27" borderId="77" xfId="0" applyFont="1" applyFill="1" applyBorder="1" applyAlignment="1">
      <alignment horizontal="left"/>
    </xf>
    <xf numFmtId="0" fontId="20" fillId="30" borderId="26" xfId="0" applyFont="1" applyFill="1" applyBorder="1" applyAlignment="1">
      <alignment horizontal="center"/>
    </xf>
    <xf numFmtId="0" fontId="20" fillId="30" borderId="43" xfId="0" applyFont="1" applyFill="1" applyBorder="1" applyAlignment="1">
      <alignment horizontal="center"/>
    </xf>
    <xf numFmtId="0" fontId="20" fillId="30" borderId="71" xfId="0" applyFont="1" applyFill="1" applyBorder="1" applyAlignment="1">
      <alignment horizontal="center"/>
    </xf>
    <xf numFmtId="0" fontId="20" fillId="27" borderId="68" xfId="0" applyFont="1" applyFill="1" applyBorder="1" applyAlignment="1">
      <alignment horizontal="center" wrapText="1"/>
    </xf>
    <xf numFmtId="0" fontId="20" fillId="27" borderId="22" xfId="0" applyFont="1" applyFill="1" applyBorder="1" applyAlignment="1">
      <alignment horizontal="center" wrapText="1"/>
    </xf>
    <xf numFmtId="0" fontId="20" fillId="25" borderId="26" xfId="0" applyFont="1" applyFill="1" applyBorder="1" applyAlignment="1">
      <alignment horizontal="center"/>
    </xf>
    <xf numFmtId="0" fontId="20" fillId="25" borderId="43" xfId="0" applyFont="1" applyFill="1" applyBorder="1" applyAlignment="1">
      <alignment horizontal="center"/>
    </xf>
    <xf numFmtId="0" fontId="20" fillId="25" borderId="71" xfId="0" applyFont="1" applyFill="1" applyBorder="1" applyAlignment="1">
      <alignment horizontal="center"/>
    </xf>
    <xf numFmtId="0" fontId="20" fillId="27" borderId="72" xfId="0" applyFont="1" applyFill="1" applyBorder="1" applyAlignment="1">
      <alignment horizontal="center" vertical="center" wrapText="1"/>
    </xf>
    <xf numFmtId="0" fontId="20" fillId="27" borderId="29" xfId="0" applyFont="1" applyFill="1" applyBorder="1" applyAlignment="1">
      <alignment horizontal="center" vertical="center" wrapText="1"/>
    </xf>
    <xf numFmtId="0" fontId="20" fillId="27" borderId="72" xfId="0" applyFont="1" applyFill="1" applyBorder="1" applyAlignment="1">
      <alignment horizontal="center" vertical="center"/>
    </xf>
    <xf numFmtId="0" fontId="20" fillId="27" borderId="29" xfId="0" applyFont="1" applyFill="1" applyBorder="1" applyAlignment="1">
      <alignment horizontal="center" vertical="center"/>
    </xf>
    <xf numFmtId="0" fontId="20" fillId="27" borderId="50" xfId="0" applyFont="1" applyFill="1" applyBorder="1" applyAlignment="1">
      <alignment horizontal="center" vertical="center" wrapText="1"/>
    </xf>
    <xf numFmtId="0" fontId="20" fillId="27" borderId="9" xfId="0" applyFont="1" applyFill="1" applyBorder="1" applyAlignment="1">
      <alignment horizontal="center" vertical="center" wrapText="1"/>
    </xf>
    <xf numFmtId="0" fontId="20" fillId="27" borderId="73" xfId="0" applyFont="1" applyFill="1" applyBorder="1" applyAlignment="1">
      <alignment horizontal="center" vertical="center" wrapText="1"/>
    </xf>
    <xf numFmtId="0" fontId="20" fillId="27" borderId="74" xfId="0" applyFont="1" applyFill="1" applyBorder="1" applyAlignment="1">
      <alignment horizontal="center" vertical="center" wrapText="1"/>
    </xf>
    <xf numFmtId="0" fontId="20" fillId="27" borderId="59" xfId="0" applyFont="1" applyFill="1" applyBorder="1" applyAlignment="1">
      <alignment horizontal="center" vertical="center" wrapText="1"/>
    </xf>
    <xf numFmtId="0" fontId="20" fillId="27" borderId="30" xfId="0" applyFont="1" applyFill="1" applyBorder="1" applyAlignment="1">
      <alignment horizontal="center" vertical="center" wrapText="1"/>
    </xf>
    <xf numFmtId="2" fontId="15" fillId="0" borderId="47" xfId="7" applyNumberFormat="1" applyFont="1" applyBorder="1" applyAlignment="1">
      <alignment horizontal="center" vertical="top" wrapText="1"/>
    </xf>
    <xf numFmtId="2" fontId="12" fillId="0" borderId="66" xfId="7" applyNumberFormat="1" applyFont="1" applyBorder="1" applyAlignment="1">
      <alignment horizontal="center" vertical="top" wrapText="1"/>
    </xf>
    <xf numFmtId="2" fontId="12" fillId="0" borderId="58" xfId="7" applyNumberFormat="1" applyFont="1" applyBorder="1" applyAlignment="1">
      <alignment horizontal="center" vertical="top" wrapText="1"/>
    </xf>
    <xf numFmtId="2" fontId="12" fillId="0" borderId="67" xfId="7" applyNumberFormat="1" applyFont="1" applyBorder="1" applyAlignment="1">
      <alignment horizontal="center" vertical="top" wrapText="1"/>
    </xf>
    <xf numFmtId="0" fontId="24" fillId="0" borderId="0" xfId="7" applyFont="1" applyAlignment="1">
      <alignment horizontal="left"/>
    </xf>
    <xf numFmtId="0" fontId="2" fillId="0" borderId="0" xfId="0" applyFont="1" applyAlignment="1">
      <alignment horizontal="center"/>
    </xf>
    <xf numFmtId="0" fontId="4" fillId="0" borderId="0" xfId="0" applyFont="1" applyAlignment="1">
      <alignment horizontal="center"/>
    </xf>
  </cellXfs>
  <cellStyles count="9">
    <cellStyle name="Comma" xfId="1" builtinId="3"/>
    <cellStyle name="Comma 2" xfId="2"/>
    <cellStyle name="Comma 3" xfId="3"/>
    <cellStyle name="Normal" xfId="0" builtinId="0"/>
    <cellStyle name="Normal 2" xfId="4"/>
    <cellStyle name="Normal 3" xfId="5"/>
    <cellStyle name="Normal 3 2" xfId="8"/>
    <cellStyle name="Normal 4" xfId="6"/>
    <cellStyle name="Normal 5" xfId="7"/>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884011373578302"/>
          <c:y val="2.8252405949256341E-2"/>
          <c:w val="0.72533180227471561"/>
          <c:h val="0.71960994459025951"/>
        </c:manualLayout>
      </c:layout>
      <c:barChart>
        <c:barDir val="col"/>
        <c:grouping val="clustered"/>
        <c:varyColors val="0"/>
        <c:ser>
          <c:idx val="0"/>
          <c:order val="0"/>
          <c:invertIfNegative val="0"/>
          <c:dPt>
            <c:idx val="1"/>
            <c:invertIfNegative val="0"/>
            <c:bubble3D val="0"/>
            <c:spPr>
              <a:solidFill>
                <a:srgbClr val="FF0000"/>
              </a:solidFill>
            </c:spPr>
          </c:dPt>
          <c:dPt>
            <c:idx val="4"/>
            <c:invertIfNegative val="0"/>
            <c:bubble3D val="0"/>
            <c:spPr>
              <a:solidFill>
                <a:srgbClr val="FF0000"/>
              </a:solidFill>
            </c:spPr>
          </c:dPt>
          <c:cat>
            <c:strRef>
              <c:f>Sheet1!$B$48:$B$52</c:f>
              <c:strCache>
                <c:ptCount val="5"/>
                <c:pt idx="0">
                  <c:v>NHS History 1948-2011</c:v>
                </c:pt>
                <c:pt idx="1">
                  <c:v>Tightest 4 years 1975-1979</c:v>
                </c:pt>
                <c:pt idx="2">
                  <c:v>Last Con Govt 1979-1997</c:v>
                </c:pt>
                <c:pt idx="3">
                  <c:v>Last Labour Govt 1997-2010</c:v>
                </c:pt>
                <c:pt idx="4">
                  <c:v>Projected 2011-2015</c:v>
                </c:pt>
              </c:strCache>
            </c:strRef>
          </c:cat>
          <c:val>
            <c:numRef>
              <c:f>Sheet1!$C$48:$C$52</c:f>
              <c:numCache>
                <c:formatCode>0.0%</c:formatCode>
                <c:ptCount val="5"/>
                <c:pt idx="0">
                  <c:v>0.04</c:v>
                </c:pt>
                <c:pt idx="1">
                  <c:v>1.2999999999999999E-2</c:v>
                </c:pt>
                <c:pt idx="2">
                  <c:v>3.3000000000000002E-2</c:v>
                </c:pt>
                <c:pt idx="3">
                  <c:v>6.4000000000000001E-2</c:v>
                </c:pt>
                <c:pt idx="4">
                  <c:v>1E-3</c:v>
                </c:pt>
              </c:numCache>
            </c:numRef>
          </c:val>
        </c:ser>
        <c:dLbls>
          <c:showLegendKey val="0"/>
          <c:showVal val="0"/>
          <c:showCatName val="0"/>
          <c:showSerName val="0"/>
          <c:showPercent val="0"/>
          <c:showBubbleSize val="0"/>
        </c:dLbls>
        <c:gapWidth val="150"/>
        <c:axId val="142243712"/>
        <c:axId val="142245248"/>
      </c:barChart>
      <c:catAx>
        <c:axId val="142243712"/>
        <c:scaling>
          <c:orientation val="minMax"/>
        </c:scaling>
        <c:delete val="0"/>
        <c:axPos val="b"/>
        <c:majorTickMark val="out"/>
        <c:minorTickMark val="none"/>
        <c:tickLblPos val="nextTo"/>
        <c:crossAx val="142245248"/>
        <c:crosses val="autoZero"/>
        <c:auto val="1"/>
        <c:lblAlgn val="ctr"/>
        <c:lblOffset val="100"/>
        <c:noMultiLvlLbl val="0"/>
      </c:catAx>
      <c:valAx>
        <c:axId val="142245248"/>
        <c:scaling>
          <c:orientation val="minMax"/>
        </c:scaling>
        <c:delete val="0"/>
        <c:axPos val="l"/>
        <c:majorGridlines/>
        <c:numFmt formatCode="0.0%" sourceLinked="1"/>
        <c:majorTickMark val="out"/>
        <c:minorTickMark val="none"/>
        <c:tickLblPos val="nextTo"/>
        <c:crossAx val="142243712"/>
        <c:crosses val="autoZero"/>
        <c:crossBetween val="between"/>
      </c:valAx>
    </c:plotArea>
    <c:plotVisOnly val="1"/>
    <c:dispBlanksAs val="gap"/>
    <c:showDLblsOverMax val="0"/>
  </c:chart>
  <c:spPr>
    <a:ln>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a:effectLst>
      <a:glow rad="127000">
        <a:schemeClr val="tx1"/>
      </a:glow>
    </a:effectLst>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Spend 13/14</a:t>
            </a:r>
          </a:p>
        </c:rich>
      </c:tx>
      <c:layout>
        <c:manualLayout>
          <c:xMode val="edge"/>
          <c:yMode val="edge"/>
          <c:x val="0.55894131061486163"/>
          <c:y val="5.1130776794493606E-2"/>
        </c:manualLayout>
      </c:layout>
      <c:overlay val="0"/>
    </c:title>
    <c:autoTitleDeleted val="0"/>
    <c:plotArea>
      <c:layout/>
      <c:pieChart>
        <c:varyColors val="1"/>
        <c:ser>
          <c:idx val="0"/>
          <c:order val="0"/>
          <c:explosion val="25"/>
          <c:dLbls>
            <c:showLegendKey val="0"/>
            <c:showVal val="0"/>
            <c:showCatName val="1"/>
            <c:showSerName val="0"/>
            <c:showPercent val="1"/>
            <c:showBubbleSize val="0"/>
            <c:showLeaderLines val="1"/>
          </c:dLbls>
          <c:cat>
            <c:strRef>
              <c:f>Sheet1!$B$8:$B$14</c:f>
              <c:strCache>
                <c:ptCount val="7"/>
                <c:pt idx="0">
                  <c:v>Acute</c:v>
                </c:pt>
                <c:pt idx="1">
                  <c:v>Mental Health</c:v>
                </c:pt>
                <c:pt idx="2">
                  <c:v>Community &amp; Other</c:v>
                </c:pt>
                <c:pt idx="3">
                  <c:v>CHC &amp; FNC</c:v>
                </c:pt>
                <c:pt idx="4">
                  <c:v>Prescribing</c:v>
                </c:pt>
                <c:pt idx="5">
                  <c:v>Primary</c:v>
                </c:pt>
                <c:pt idx="6">
                  <c:v>Other</c:v>
                </c:pt>
              </c:strCache>
            </c:strRef>
          </c:cat>
          <c:val>
            <c:numRef>
              <c:f>Sheet1!$C$8:$C$14</c:f>
              <c:numCache>
                <c:formatCode>"£"#,##0.0;\-"£"#,##0.0</c:formatCode>
                <c:ptCount val="7"/>
                <c:pt idx="0">
                  <c:v>200.70000000000002</c:v>
                </c:pt>
                <c:pt idx="1">
                  <c:v>22.9</c:v>
                </c:pt>
                <c:pt idx="2">
                  <c:v>32.9</c:v>
                </c:pt>
                <c:pt idx="3">
                  <c:v>13.5</c:v>
                </c:pt>
                <c:pt idx="4">
                  <c:v>45.9</c:v>
                </c:pt>
                <c:pt idx="5">
                  <c:v>3.6</c:v>
                </c:pt>
                <c:pt idx="6">
                  <c:v>16.899999999999999</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Intentions 18/19</a:t>
            </a:r>
          </a:p>
        </c:rich>
      </c:tx>
      <c:layout>
        <c:manualLayout>
          <c:xMode val="edge"/>
          <c:yMode val="edge"/>
          <c:x val="0.54951377952755909"/>
          <c:y val="6.0185185185185182E-2"/>
        </c:manualLayout>
      </c:layout>
      <c:overlay val="0"/>
    </c:title>
    <c:autoTitleDeleted val="0"/>
    <c:plotArea>
      <c:layout/>
      <c:pieChart>
        <c:varyColors val="1"/>
        <c:ser>
          <c:idx val="0"/>
          <c:order val="0"/>
          <c:tx>
            <c:strRef>
              <c:f>Sheet1!$H$7</c:f>
              <c:strCache>
                <c:ptCount val="1"/>
                <c:pt idx="0">
                  <c:v>£m</c:v>
                </c:pt>
              </c:strCache>
            </c:strRef>
          </c:tx>
          <c:explosion val="25"/>
          <c:dLbls>
            <c:showLegendKey val="0"/>
            <c:showVal val="0"/>
            <c:showCatName val="1"/>
            <c:showSerName val="0"/>
            <c:showPercent val="1"/>
            <c:showBubbleSize val="0"/>
            <c:showLeaderLines val="1"/>
          </c:dLbls>
          <c:cat>
            <c:strRef>
              <c:f>Sheet1!$G$8:$G$15</c:f>
              <c:strCache>
                <c:ptCount val="8"/>
                <c:pt idx="0">
                  <c:v>Acute</c:v>
                </c:pt>
                <c:pt idx="1">
                  <c:v>Mental Health</c:v>
                </c:pt>
                <c:pt idx="2">
                  <c:v>Community &amp; Other</c:v>
                </c:pt>
                <c:pt idx="3">
                  <c:v>CHC &amp; FNC</c:v>
                </c:pt>
                <c:pt idx="4">
                  <c:v>Prescribing</c:v>
                </c:pt>
                <c:pt idx="5">
                  <c:v>Primary</c:v>
                </c:pt>
                <c:pt idx="6">
                  <c:v>Other</c:v>
                </c:pt>
                <c:pt idx="7">
                  <c:v>New invests ?</c:v>
                </c:pt>
              </c:strCache>
            </c:strRef>
          </c:cat>
          <c:val>
            <c:numRef>
              <c:f>Sheet1!$H$8:$H$15</c:f>
              <c:numCache>
                <c:formatCode>"£"#,##0.0;\-"£"#,##0.0</c:formatCode>
                <c:ptCount val="8"/>
                <c:pt idx="0">
                  <c:v>176.5</c:v>
                </c:pt>
                <c:pt idx="1">
                  <c:v>27.9</c:v>
                </c:pt>
                <c:pt idx="2">
                  <c:v>40.9</c:v>
                </c:pt>
                <c:pt idx="3">
                  <c:v>14.2</c:v>
                </c:pt>
                <c:pt idx="4">
                  <c:v>47.6</c:v>
                </c:pt>
                <c:pt idx="5">
                  <c:v>11.5</c:v>
                </c:pt>
                <c:pt idx="6">
                  <c:v>17.5</c:v>
                </c:pt>
                <c:pt idx="7">
                  <c:v>16</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pieChart>
        <c:varyColors val="1"/>
        <c:ser>
          <c:idx val="0"/>
          <c:order val="0"/>
          <c:tx>
            <c:strRef>
              <c:f>Sheet3!$C$2</c:f>
              <c:strCache>
                <c:ptCount val="1"/>
                <c:pt idx="0">
                  <c:v>Baseline Spend (£m)</c:v>
                </c:pt>
              </c:strCache>
            </c:strRef>
          </c:tx>
          <c:dLbls>
            <c:dLbl>
              <c:idx val="0"/>
              <c:layout>
                <c:manualLayout>
                  <c:x val="-1.5214867849460698E-2"/>
                  <c:y val="2.5505376424721081E-2"/>
                </c:manualLayout>
              </c:layout>
              <c:tx>
                <c:rich>
                  <a:bodyPr/>
                  <a:lstStyle/>
                  <a:p>
                    <a:r>
                      <a:rPr lang="en-US"/>
                      <a:t>£204m</a:t>
                    </a:r>
                  </a:p>
                  <a:p>
                    <a:r>
                      <a:rPr lang="en-US" b="0"/>
                      <a:t>(60%)</a:t>
                    </a:r>
                  </a:p>
                </c:rich>
              </c:tx>
              <c:showLegendKey val="0"/>
              <c:showVal val="1"/>
              <c:showCatName val="0"/>
              <c:showSerName val="0"/>
              <c:showPercent val="0"/>
              <c:showBubbleSize val="0"/>
            </c:dLbl>
            <c:dLbl>
              <c:idx val="1"/>
              <c:layout>
                <c:manualLayout>
                  <c:x val="1.0880816881698551E-2"/>
                  <c:y val="-2.1233054466480671E-2"/>
                </c:manualLayout>
              </c:layout>
              <c:tx>
                <c:rich>
                  <a:bodyPr/>
                  <a:lstStyle/>
                  <a:p>
                    <a:r>
                      <a:rPr lang="en-US"/>
                      <a:t>£29m</a:t>
                    </a:r>
                  </a:p>
                  <a:p>
                    <a:r>
                      <a:rPr lang="en-US" b="0"/>
                      <a:t>(9%)</a:t>
                    </a:r>
                  </a:p>
                </c:rich>
              </c:tx>
              <c:showLegendKey val="0"/>
              <c:showVal val="1"/>
              <c:showCatName val="0"/>
              <c:showSerName val="0"/>
              <c:showPercent val="0"/>
              <c:showBubbleSize val="0"/>
            </c:dLbl>
            <c:dLbl>
              <c:idx val="2"/>
              <c:layout>
                <c:manualLayout>
                  <c:x val="1.4208433823778394E-2"/>
                  <c:y val="1.1619258766067073E-2"/>
                </c:manualLayout>
              </c:layout>
              <c:tx>
                <c:rich>
                  <a:bodyPr/>
                  <a:lstStyle/>
                  <a:p>
                    <a:r>
                      <a:rPr lang="en-US"/>
                      <a:t>£21m</a:t>
                    </a:r>
                  </a:p>
                  <a:p>
                    <a:r>
                      <a:rPr lang="en-US" b="0"/>
                      <a:t>(6%)</a:t>
                    </a:r>
                  </a:p>
                </c:rich>
              </c:tx>
              <c:showLegendKey val="0"/>
              <c:showVal val="1"/>
              <c:showCatName val="0"/>
              <c:showSerName val="0"/>
              <c:showPercent val="0"/>
              <c:showBubbleSize val="0"/>
            </c:dLbl>
            <c:dLbl>
              <c:idx val="3"/>
              <c:tx>
                <c:rich>
                  <a:bodyPr/>
                  <a:lstStyle/>
                  <a:p>
                    <a:r>
                      <a:rPr lang="en-US"/>
                      <a:t>£14m</a:t>
                    </a:r>
                  </a:p>
                  <a:p>
                    <a:r>
                      <a:rPr lang="en-US" b="0"/>
                      <a:t>(4%)</a:t>
                    </a:r>
                  </a:p>
                </c:rich>
              </c:tx>
              <c:showLegendKey val="0"/>
              <c:showVal val="1"/>
              <c:showCatName val="0"/>
              <c:showSerName val="0"/>
              <c:showPercent val="0"/>
              <c:showBubbleSize val="0"/>
            </c:dLbl>
            <c:dLbl>
              <c:idx val="4"/>
              <c:layout>
                <c:manualLayout>
                  <c:x val="7.1042960278412202E-3"/>
                  <c:y val="1.3310029109746341E-2"/>
                </c:manualLayout>
              </c:layout>
              <c:tx>
                <c:rich>
                  <a:bodyPr/>
                  <a:lstStyle/>
                  <a:p>
                    <a:r>
                      <a:rPr lang="en-US"/>
                      <a:t>£46m</a:t>
                    </a:r>
                  </a:p>
                  <a:p>
                    <a:r>
                      <a:rPr lang="en-US" b="0"/>
                      <a:t>(13%)</a:t>
                    </a:r>
                  </a:p>
                </c:rich>
              </c:tx>
              <c:showLegendKey val="0"/>
              <c:showVal val="1"/>
              <c:showCatName val="0"/>
              <c:showSerName val="0"/>
              <c:showPercent val="0"/>
              <c:showBubbleSize val="0"/>
            </c:dLbl>
            <c:dLbl>
              <c:idx val="5"/>
              <c:tx>
                <c:rich>
                  <a:bodyPr/>
                  <a:lstStyle/>
                  <a:p>
                    <a:r>
                      <a:rPr lang="en-US"/>
                      <a:t>£6m</a:t>
                    </a:r>
                  </a:p>
                  <a:p>
                    <a:r>
                      <a:rPr lang="en-US" b="0"/>
                      <a:t>(2%)</a:t>
                    </a:r>
                  </a:p>
                </c:rich>
              </c:tx>
              <c:showLegendKey val="0"/>
              <c:showVal val="1"/>
              <c:showCatName val="0"/>
              <c:showSerName val="0"/>
              <c:showPercent val="0"/>
              <c:showBubbleSize val="0"/>
            </c:dLbl>
            <c:dLbl>
              <c:idx val="6"/>
              <c:tx>
                <c:rich>
                  <a:bodyPr/>
                  <a:lstStyle/>
                  <a:p>
                    <a:r>
                      <a:rPr lang="en-US"/>
                      <a:t>£6m</a:t>
                    </a:r>
                  </a:p>
                  <a:p>
                    <a:r>
                      <a:rPr lang="en-US" b="0"/>
                      <a:t>(2%)</a:t>
                    </a:r>
                  </a:p>
                </c:rich>
              </c:tx>
              <c:showLegendKey val="0"/>
              <c:showVal val="1"/>
              <c:showCatName val="0"/>
              <c:showSerName val="0"/>
              <c:showPercent val="0"/>
              <c:showBubbleSize val="0"/>
            </c:dLbl>
            <c:dLbl>
              <c:idx val="7"/>
              <c:layout>
                <c:manualLayout>
                  <c:x val="3.8999971201793465E-2"/>
                  <c:y val="5.6200102790695062E-3"/>
                </c:manualLayout>
              </c:layout>
              <c:tx>
                <c:rich>
                  <a:bodyPr/>
                  <a:lstStyle/>
                  <a:p>
                    <a:r>
                      <a:rPr lang="en-US"/>
                      <a:t>£17m</a:t>
                    </a:r>
                  </a:p>
                  <a:p>
                    <a:r>
                      <a:rPr lang="en-US" b="0"/>
                      <a:t>(5%)</a:t>
                    </a:r>
                  </a:p>
                </c:rich>
              </c:tx>
              <c:showLegendKey val="0"/>
              <c:showVal val="1"/>
              <c:showCatName val="0"/>
              <c:showSerName val="0"/>
              <c:showPercent val="0"/>
              <c:showBubbleSize val="0"/>
            </c:dLbl>
            <c:txPr>
              <a:bodyPr/>
              <a:lstStyle/>
              <a:p>
                <a:pPr>
                  <a:defRPr b="1"/>
                </a:pPr>
                <a:endParaRPr lang="en-US"/>
              </a:p>
            </c:txPr>
            <c:showLegendKey val="0"/>
            <c:showVal val="1"/>
            <c:showCatName val="0"/>
            <c:showSerName val="0"/>
            <c:showPercent val="0"/>
            <c:showBubbleSize val="0"/>
            <c:showLeaderLines val="1"/>
          </c:dLbls>
          <c:cat>
            <c:strRef>
              <c:f>Sheet3!$B$3:$B$10</c:f>
              <c:strCache>
                <c:ptCount val="8"/>
                <c:pt idx="0">
                  <c:v>Acute</c:v>
                </c:pt>
                <c:pt idx="1">
                  <c:v>Mental Health</c:v>
                </c:pt>
                <c:pt idx="2">
                  <c:v>Community Health</c:v>
                </c:pt>
                <c:pt idx="3">
                  <c:v>Continuing Care</c:v>
                </c:pt>
                <c:pt idx="4">
                  <c:v>Prescribing</c:v>
                </c:pt>
                <c:pt idx="5">
                  <c:v>Primary Care</c:v>
                </c:pt>
                <c:pt idx="6">
                  <c:v>Running Costs</c:v>
                </c:pt>
                <c:pt idx="7">
                  <c:v>Other</c:v>
                </c:pt>
              </c:strCache>
            </c:strRef>
          </c:cat>
          <c:val>
            <c:numRef>
              <c:f>Sheet3!$C$3:$C$10</c:f>
              <c:numCache>
                <c:formatCode>#,##0</c:formatCode>
                <c:ptCount val="8"/>
                <c:pt idx="0">
                  <c:v>0</c:v>
                </c:pt>
                <c:pt idx="1">
                  <c:v>0</c:v>
                </c:pt>
                <c:pt idx="2">
                  <c:v>0</c:v>
                </c:pt>
                <c:pt idx="3">
                  <c:v>0</c:v>
                </c:pt>
                <c:pt idx="4">
                  <c:v>0</c:v>
                </c:pt>
                <c:pt idx="5">
                  <c:v>0</c:v>
                </c:pt>
                <c:pt idx="6">
                  <c:v>0</c:v>
                </c:pt>
                <c:pt idx="7">
                  <c:v>0</c:v>
                </c:pt>
              </c:numCache>
            </c:numRef>
          </c:val>
        </c:ser>
        <c:ser>
          <c:idx val="1"/>
          <c:order val="1"/>
          <c:tx>
            <c:strRef>
              <c:f>Sheet3!$D$2</c:f>
              <c:strCache>
                <c:ptCount val="1"/>
                <c:pt idx="0">
                  <c:v>%</c:v>
                </c:pt>
              </c:strCache>
            </c:strRef>
          </c:tx>
          <c:cat>
            <c:strRef>
              <c:f>Sheet3!$B$3:$B$10</c:f>
              <c:strCache>
                <c:ptCount val="8"/>
                <c:pt idx="0">
                  <c:v>Acute</c:v>
                </c:pt>
                <c:pt idx="1">
                  <c:v>Mental Health</c:v>
                </c:pt>
                <c:pt idx="2">
                  <c:v>Community Health</c:v>
                </c:pt>
                <c:pt idx="3">
                  <c:v>Continuing Care</c:v>
                </c:pt>
                <c:pt idx="4">
                  <c:v>Prescribing</c:v>
                </c:pt>
                <c:pt idx="5">
                  <c:v>Primary Care</c:v>
                </c:pt>
                <c:pt idx="6">
                  <c:v>Running Costs</c:v>
                </c:pt>
                <c:pt idx="7">
                  <c:v>Other</c:v>
                </c:pt>
              </c:strCache>
            </c:strRef>
          </c:cat>
          <c:val>
            <c:numRef>
              <c:f>Sheet3!$D$3:$D$10</c:f>
              <c:numCache>
                <c:formatCode>0%</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pieChart>
        <c:varyColors val="1"/>
        <c:ser>
          <c:idx val="0"/>
          <c:order val="0"/>
          <c:tx>
            <c:strRef>
              <c:f>Sheet3!$C$2</c:f>
              <c:strCache>
                <c:ptCount val="1"/>
                <c:pt idx="0">
                  <c:v>Baseline Spend (£m)</c:v>
                </c:pt>
              </c:strCache>
            </c:strRef>
          </c:tx>
          <c:dLbls>
            <c:dLbl>
              <c:idx val="0"/>
              <c:layout>
                <c:manualLayout>
                  <c:x val="9.3769793819115429E-3"/>
                  <c:y val="1.8605617742512261E-2"/>
                </c:manualLayout>
              </c:layout>
              <c:tx>
                <c:rich>
                  <a:bodyPr/>
                  <a:lstStyle/>
                  <a:p>
                    <a:r>
                      <a:rPr lang="en-US"/>
                      <a:t>£204m</a:t>
                    </a:r>
                  </a:p>
                  <a:p>
                    <a:r>
                      <a:rPr lang="en-US" b="0"/>
                      <a:t>(60%)</a:t>
                    </a:r>
                  </a:p>
                </c:rich>
              </c:tx>
              <c:showLegendKey val="0"/>
              <c:showVal val="1"/>
              <c:showCatName val="0"/>
              <c:showSerName val="0"/>
              <c:showPercent val="0"/>
              <c:showBubbleSize val="0"/>
            </c:dLbl>
            <c:dLbl>
              <c:idx val="1"/>
              <c:layout>
                <c:manualLayout>
                  <c:x val="-9.2983381380443205E-3"/>
                  <c:y val="-6.7124128764110141E-3"/>
                </c:manualLayout>
              </c:layout>
              <c:tx>
                <c:rich>
                  <a:bodyPr/>
                  <a:lstStyle/>
                  <a:p>
                    <a:r>
                      <a:rPr lang="en-US"/>
                      <a:t>£29m</a:t>
                    </a:r>
                  </a:p>
                  <a:p>
                    <a:r>
                      <a:rPr lang="en-US" b="0"/>
                      <a:t>(9%)</a:t>
                    </a:r>
                  </a:p>
                </c:rich>
              </c:tx>
              <c:showLegendKey val="0"/>
              <c:showVal val="1"/>
              <c:showCatName val="0"/>
              <c:showSerName val="0"/>
              <c:showPercent val="0"/>
              <c:showBubbleSize val="0"/>
            </c:dLbl>
            <c:dLbl>
              <c:idx val="2"/>
              <c:layout>
                <c:manualLayout>
                  <c:x val="1.6370670202199586E-3"/>
                  <c:y val="1.8097686375321338E-2"/>
                </c:manualLayout>
              </c:layout>
              <c:tx>
                <c:rich>
                  <a:bodyPr/>
                  <a:lstStyle/>
                  <a:p>
                    <a:r>
                      <a:rPr lang="en-US"/>
                      <a:t>£21m</a:t>
                    </a:r>
                  </a:p>
                  <a:p>
                    <a:r>
                      <a:rPr lang="en-US" b="0"/>
                      <a:t>(6%)</a:t>
                    </a:r>
                  </a:p>
                </c:rich>
              </c:tx>
              <c:showLegendKey val="0"/>
              <c:showVal val="1"/>
              <c:showCatName val="0"/>
              <c:showSerName val="0"/>
              <c:showPercent val="0"/>
              <c:showBubbleSize val="0"/>
            </c:dLbl>
            <c:dLbl>
              <c:idx val="3"/>
              <c:layout>
                <c:manualLayout>
                  <c:x val="1.8399202891086308E-3"/>
                  <c:y val="4.6588263870615144E-3"/>
                </c:manualLayout>
              </c:layout>
              <c:tx>
                <c:rich>
                  <a:bodyPr/>
                  <a:lstStyle/>
                  <a:p>
                    <a:r>
                      <a:rPr lang="en-US"/>
                      <a:t>£14m</a:t>
                    </a:r>
                    <a:endParaRPr lang="en-US" b="0"/>
                  </a:p>
                  <a:p>
                    <a:r>
                      <a:rPr lang="en-US" b="0"/>
                      <a:t>(4%)</a:t>
                    </a:r>
                    <a:endParaRPr lang="en-US"/>
                  </a:p>
                </c:rich>
              </c:tx>
              <c:showLegendKey val="0"/>
              <c:showVal val="1"/>
              <c:showCatName val="0"/>
              <c:showSerName val="0"/>
              <c:showPercent val="0"/>
              <c:showBubbleSize val="0"/>
            </c:dLbl>
            <c:dLbl>
              <c:idx val="4"/>
              <c:layout>
                <c:manualLayout>
                  <c:x val="-7.1387894533389224E-3"/>
                  <c:y val="-7.9263742417801895E-3"/>
                </c:manualLayout>
              </c:layout>
              <c:tx>
                <c:rich>
                  <a:bodyPr/>
                  <a:lstStyle/>
                  <a:p>
                    <a:r>
                      <a:rPr lang="en-US"/>
                      <a:t>£46m</a:t>
                    </a:r>
                  </a:p>
                  <a:p>
                    <a:r>
                      <a:rPr lang="en-US" b="0"/>
                      <a:t>(13%)</a:t>
                    </a:r>
                  </a:p>
                </c:rich>
              </c:tx>
              <c:showLegendKey val="0"/>
              <c:showVal val="1"/>
              <c:showCatName val="0"/>
              <c:showSerName val="0"/>
              <c:showPercent val="0"/>
              <c:showBubbleSize val="0"/>
            </c:dLbl>
            <c:dLbl>
              <c:idx val="5"/>
              <c:layout>
                <c:manualLayout>
                  <c:x val="-2.818695223090335E-2"/>
                  <c:y val="-6.2144674075123646E-3"/>
                </c:manualLayout>
              </c:layout>
              <c:tx>
                <c:rich>
                  <a:bodyPr/>
                  <a:lstStyle/>
                  <a:p>
                    <a:r>
                      <a:rPr lang="en-US"/>
                      <a:t>£6m</a:t>
                    </a:r>
                  </a:p>
                  <a:p>
                    <a:r>
                      <a:rPr lang="en-US" b="0"/>
                      <a:t>(2%)</a:t>
                    </a:r>
                  </a:p>
                </c:rich>
              </c:tx>
              <c:showLegendKey val="0"/>
              <c:showVal val="1"/>
              <c:showCatName val="0"/>
              <c:showSerName val="0"/>
              <c:showPercent val="0"/>
              <c:showBubbleSize val="0"/>
            </c:dLbl>
            <c:dLbl>
              <c:idx val="6"/>
              <c:layout>
                <c:manualLayout>
                  <c:x val="-2.6192122932245585E-3"/>
                  <c:y val="-3.1733565437996346E-2"/>
                </c:manualLayout>
              </c:layout>
              <c:tx>
                <c:rich>
                  <a:bodyPr/>
                  <a:lstStyle/>
                  <a:p>
                    <a:r>
                      <a:rPr lang="en-US"/>
                      <a:t>£6m</a:t>
                    </a:r>
                  </a:p>
                  <a:p>
                    <a:r>
                      <a:rPr lang="en-US" b="0"/>
                      <a:t>(2%)</a:t>
                    </a:r>
                  </a:p>
                </c:rich>
              </c:tx>
              <c:showLegendKey val="0"/>
              <c:showVal val="1"/>
              <c:showCatName val="0"/>
              <c:showSerName val="0"/>
              <c:showPercent val="0"/>
              <c:showBubbleSize val="0"/>
            </c:dLbl>
            <c:dLbl>
              <c:idx val="7"/>
              <c:layout>
                <c:manualLayout>
                  <c:x val="5.1494824472585458E-2"/>
                  <c:y val="-4.2318617627809373E-3"/>
                </c:manualLayout>
              </c:layout>
              <c:tx>
                <c:rich>
                  <a:bodyPr/>
                  <a:lstStyle/>
                  <a:p>
                    <a:r>
                      <a:rPr lang="en-US"/>
                      <a:t>£17m</a:t>
                    </a:r>
                  </a:p>
                  <a:p>
                    <a:r>
                      <a:rPr lang="en-US" b="0"/>
                      <a:t>(5%)</a:t>
                    </a:r>
                  </a:p>
                </c:rich>
              </c:tx>
              <c:showLegendKey val="0"/>
              <c:showVal val="1"/>
              <c:showCatName val="0"/>
              <c:showSerName val="0"/>
              <c:showPercent val="0"/>
              <c:showBubbleSize val="0"/>
            </c:dLbl>
            <c:txPr>
              <a:bodyPr/>
              <a:lstStyle/>
              <a:p>
                <a:pPr>
                  <a:defRPr b="1"/>
                </a:pPr>
                <a:endParaRPr lang="en-US"/>
              </a:p>
            </c:txPr>
            <c:showLegendKey val="0"/>
            <c:showVal val="1"/>
            <c:showCatName val="0"/>
            <c:showSerName val="0"/>
            <c:showPercent val="0"/>
            <c:showBubbleSize val="0"/>
            <c:showLeaderLines val="1"/>
          </c:dLbls>
          <c:cat>
            <c:strRef>
              <c:f>Sheet3!$B$3:$B$10</c:f>
              <c:strCache>
                <c:ptCount val="8"/>
                <c:pt idx="0">
                  <c:v>Acute</c:v>
                </c:pt>
                <c:pt idx="1">
                  <c:v>Mental Health</c:v>
                </c:pt>
                <c:pt idx="2">
                  <c:v>Community Health</c:v>
                </c:pt>
                <c:pt idx="3">
                  <c:v>Continuing Care</c:v>
                </c:pt>
                <c:pt idx="4">
                  <c:v>Prescribing</c:v>
                </c:pt>
                <c:pt idx="5">
                  <c:v>Primary Care</c:v>
                </c:pt>
                <c:pt idx="6">
                  <c:v>Running Costs</c:v>
                </c:pt>
                <c:pt idx="7">
                  <c:v>Other</c:v>
                </c:pt>
              </c:strCache>
            </c:strRef>
          </c:cat>
          <c:val>
            <c:numRef>
              <c:f>Sheet3!$C$3:$C$10</c:f>
              <c:numCache>
                <c:formatCode>#,##0</c:formatCode>
                <c:ptCount val="8"/>
                <c:pt idx="0">
                  <c:v>0</c:v>
                </c:pt>
                <c:pt idx="1">
                  <c:v>0</c:v>
                </c:pt>
                <c:pt idx="2">
                  <c:v>0</c:v>
                </c:pt>
                <c:pt idx="3">
                  <c:v>0</c:v>
                </c:pt>
                <c:pt idx="4">
                  <c:v>0</c:v>
                </c:pt>
                <c:pt idx="5">
                  <c:v>0</c:v>
                </c:pt>
                <c:pt idx="6">
                  <c:v>0</c:v>
                </c:pt>
                <c:pt idx="7">
                  <c:v>0</c:v>
                </c:pt>
              </c:numCache>
            </c:numRef>
          </c:val>
        </c:ser>
        <c:ser>
          <c:idx val="1"/>
          <c:order val="1"/>
          <c:tx>
            <c:strRef>
              <c:f>Sheet3!$D$2</c:f>
              <c:strCache>
                <c:ptCount val="1"/>
                <c:pt idx="0">
                  <c:v>%</c:v>
                </c:pt>
              </c:strCache>
            </c:strRef>
          </c:tx>
          <c:cat>
            <c:strRef>
              <c:f>Sheet3!$B$3:$B$10</c:f>
              <c:strCache>
                <c:ptCount val="8"/>
                <c:pt idx="0">
                  <c:v>Acute</c:v>
                </c:pt>
                <c:pt idx="1">
                  <c:v>Mental Health</c:v>
                </c:pt>
                <c:pt idx="2">
                  <c:v>Community Health</c:v>
                </c:pt>
                <c:pt idx="3">
                  <c:v>Continuing Care</c:v>
                </c:pt>
                <c:pt idx="4">
                  <c:v>Prescribing</c:v>
                </c:pt>
                <c:pt idx="5">
                  <c:v>Primary Care</c:v>
                </c:pt>
                <c:pt idx="6">
                  <c:v>Running Costs</c:v>
                </c:pt>
                <c:pt idx="7">
                  <c:v>Other</c:v>
                </c:pt>
              </c:strCache>
            </c:strRef>
          </c:cat>
          <c:val>
            <c:numRef>
              <c:f>Sheet3!$D$3:$D$10</c:f>
              <c:numCache>
                <c:formatCode>0%</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4</xdr:col>
      <xdr:colOff>80961</xdr:colOff>
      <xdr:row>32</xdr:row>
      <xdr:rowOff>157162</xdr:rowOff>
    </xdr:from>
    <xdr:to>
      <xdr:col>12</xdr:col>
      <xdr:colOff>161924</xdr:colOff>
      <xdr:row>54</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509587</xdr:colOff>
      <xdr:row>17</xdr:row>
      <xdr:rowOff>147637</xdr:rowOff>
    </xdr:from>
    <xdr:to>
      <xdr:col>6</xdr:col>
      <xdr:colOff>414337</xdr:colOff>
      <xdr:row>37</xdr:row>
      <xdr:rowOff>138112</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128587</xdr:colOff>
      <xdr:row>18</xdr:row>
      <xdr:rowOff>52387</xdr:rowOff>
    </xdr:from>
    <xdr:to>
      <xdr:col>12</xdr:col>
      <xdr:colOff>319087</xdr:colOff>
      <xdr:row>35</xdr:row>
      <xdr:rowOff>42862</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100012</xdr:colOff>
      <xdr:row>11</xdr:row>
      <xdr:rowOff>47624</xdr:rowOff>
    </xdr:from>
    <xdr:to>
      <xdr:col>9</xdr:col>
      <xdr:colOff>314325</xdr:colOff>
      <xdr:row>34</xdr:row>
      <xdr:rowOff>57150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395285</xdr:colOff>
      <xdr:row>11</xdr:row>
      <xdr:rowOff>76198</xdr:rowOff>
    </xdr:from>
    <xdr:to>
      <xdr:col>20</xdr:col>
      <xdr:colOff>9524</xdr:colOff>
      <xdr:row>34</xdr:row>
      <xdr:rowOff>85123</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Financial%20Accts\14-15\Marc\1-5%20Yr%20Plan\Financial%20Plan%20Env%203-5%20yr%20(MB%207.1.14%20v1)%20M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dger model"/>
      <sheetName val="PCT format"/>
      <sheetName val="Summary"/>
      <sheetName val="Gap Deloittes"/>
      <sheetName val="Assumptions"/>
      <sheetName val="Summ £m"/>
      <sheetName val="Sheet1"/>
      <sheetName val="Sheet2"/>
      <sheetName val="BCF"/>
    </sheetNames>
    <sheetDataSet>
      <sheetData sheetId="0"/>
      <sheetData sheetId="1"/>
      <sheetData sheetId="2">
        <row r="12">
          <cell r="G12">
            <v>18404</v>
          </cell>
        </row>
      </sheetData>
      <sheetData sheetId="3"/>
      <sheetData sheetId="4">
        <row r="5">
          <cell r="B5" t="str">
            <v>Non Tariff/ Other</v>
          </cell>
          <cell r="C5">
            <v>0.03</v>
          </cell>
          <cell r="D5">
            <v>1.4999999999999999E-2</v>
          </cell>
          <cell r="E5">
            <v>1.4999999999999999E-2</v>
          </cell>
          <cell r="F5">
            <v>1.4999999999999999E-2</v>
          </cell>
          <cell r="G5">
            <v>1.4999999999999999E-2</v>
          </cell>
          <cell r="H5">
            <v>1.4999999999999999E-2</v>
          </cell>
        </row>
        <row r="6">
          <cell r="B6" t="str">
            <v>Prescribing</v>
          </cell>
          <cell r="C6">
            <v>0.02</v>
          </cell>
          <cell r="D6">
            <v>1.9E-2</v>
          </cell>
          <cell r="E6">
            <v>1.7999999999999999E-2</v>
          </cell>
          <cell r="F6">
            <v>1.7000000000000001E-2</v>
          </cell>
          <cell r="G6">
            <v>1.7000000000000001E-2</v>
          </cell>
          <cell r="H6">
            <v>0.02</v>
          </cell>
        </row>
        <row r="7">
          <cell r="B7" t="str">
            <v>Tariff</v>
          </cell>
          <cell r="C7">
            <v>-1.7000000000000001E-2</v>
          </cell>
          <cell r="D7">
            <v>-1.6E-2</v>
          </cell>
          <cell r="E7">
            <v>-1.7000000000000001E-2</v>
          </cell>
          <cell r="F7">
            <v>-1.7999999999999999E-2</v>
          </cell>
          <cell r="G7">
            <v>-1.7999999999999999E-2</v>
          </cell>
          <cell r="H7">
            <v>-1.4999999999999999E-2</v>
          </cell>
        </row>
        <row r="8">
          <cell r="B8" t="str">
            <v>Zero uplift</v>
          </cell>
          <cell r="C8">
            <v>0</v>
          </cell>
          <cell r="D8">
            <v>0</v>
          </cell>
          <cell r="E8">
            <v>0</v>
          </cell>
          <cell r="F8">
            <v>0</v>
          </cell>
          <cell r="G8">
            <v>0</v>
          </cell>
          <cell r="H8">
            <v>0</v>
          </cell>
        </row>
        <row r="9">
          <cell r="B9" t="str">
            <v>Overheads</v>
          </cell>
          <cell r="C9">
            <v>0.03</v>
          </cell>
          <cell r="D9">
            <v>0.03</v>
          </cell>
          <cell r="E9">
            <v>0.03</v>
          </cell>
          <cell r="F9">
            <v>0.03</v>
          </cell>
          <cell r="G9">
            <v>0.03</v>
          </cell>
          <cell r="H9">
            <v>0.03</v>
          </cell>
        </row>
        <row r="10">
          <cell r="B10" t="str">
            <v>CHC</v>
          </cell>
          <cell r="C10">
            <v>0</v>
          </cell>
          <cell r="D10">
            <v>0.03</v>
          </cell>
          <cell r="E10">
            <v>0.03</v>
          </cell>
          <cell r="F10">
            <v>0.03</v>
          </cell>
          <cell r="G10">
            <v>0.03</v>
          </cell>
          <cell r="H10">
            <v>0.03</v>
          </cell>
        </row>
        <row r="11">
          <cell r="B11" t="str">
            <v>Mental Health</v>
          </cell>
          <cell r="C11">
            <v>0</v>
          </cell>
          <cell r="D11">
            <v>2.4E-2</v>
          </cell>
          <cell r="E11">
            <v>2.3E-2</v>
          </cell>
          <cell r="F11">
            <v>2.1999999999999999E-2</v>
          </cell>
          <cell r="G11">
            <v>2.1999999999999999E-2</v>
          </cell>
          <cell r="H11">
            <v>2.5000000000000001E-2</v>
          </cell>
        </row>
        <row r="12">
          <cell r="B12" t="str">
            <v>Pay Awards</v>
          </cell>
          <cell r="C12">
            <v>0</v>
          </cell>
          <cell r="D12">
            <v>2.5999999999999999E-2</v>
          </cell>
          <cell r="E12">
            <v>2.5000000000000001E-2</v>
          </cell>
          <cell r="F12">
            <v>2.4E-2</v>
          </cell>
          <cell r="G12">
            <v>2.4E-2</v>
          </cell>
          <cell r="H12">
            <v>2.7E-2</v>
          </cell>
        </row>
        <row r="13">
          <cell r="B13" t="str">
            <v>Primary Care Services</v>
          </cell>
          <cell r="C13">
            <v>0.03</v>
          </cell>
          <cell r="D13">
            <v>1.4999999999999999E-2</v>
          </cell>
          <cell r="E13">
            <v>1.4999999999999999E-2</v>
          </cell>
          <cell r="F13">
            <v>1.4999999999999999E-2</v>
          </cell>
          <cell r="G13">
            <v>1.4999999999999999E-2</v>
          </cell>
          <cell r="H13">
            <v>1.4999999999999999E-2</v>
          </cell>
        </row>
        <row r="14">
          <cell r="B14" t="str">
            <v>Community Health NHS Providers</v>
          </cell>
          <cell r="C14">
            <v>0</v>
          </cell>
          <cell r="D14">
            <v>0</v>
          </cell>
          <cell r="E14">
            <v>0</v>
          </cell>
          <cell r="F14">
            <v>0</v>
          </cell>
          <cell r="G14">
            <v>0</v>
          </cell>
          <cell r="H14">
            <v>0</v>
          </cell>
        </row>
        <row r="19">
          <cell r="B19" t="str">
            <v>Activity (NHS)</v>
          </cell>
          <cell r="C19">
            <v>0.02</v>
          </cell>
          <cell r="D19">
            <v>2.1999999999999999E-2</v>
          </cell>
          <cell r="E19">
            <v>2.1999999999999999E-2</v>
          </cell>
          <cell r="F19">
            <v>2.1999999999999999E-2</v>
          </cell>
          <cell r="G19">
            <v>2.1999999999999999E-2</v>
          </cell>
          <cell r="H19">
            <v>2.1999999999999999E-2</v>
          </cell>
        </row>
        <row r="20">
          <cell r="B20" t="str">
            <v>Community NHS</v>
          </cell>
          <cell r="C20">
            <v>0</v>
          </cell>
          <cell r="D20">
            <v>2.1999999999999999E-2</v>
          </cell>
          <cell r="E20">
            <v>2.1999999999999999E-2</v>
          </cell>
          <cell r="F20">
            <v>2.1999999999999999E-2</v>
          </cell>
          <cell r="G20">
            <v>2.1999999999999999E-2</v>
          </cell>
          <cell r="H20">
            <v>2.1999999999999999E-2</v>
          </cell>
        </row>
        <row r="21">
          <cell r="B21" t="str">
            <v>Community Non NHS</v>
          </cell>
          <cell r="C21">
            <v>0</v>
          </cell>
          <cell r="D21">
            <v>0.01</v>
          </cell>
          <cell r="E21">
            <v>0.01</v>
          </cell>
          <cell r="F21">
            <v>0.01</v>
          </cell>
          <cell r="G21">
            <v>0.01</v>
          </cell>
          <cell r="H21">
            <v>0.01</v>
          </cell>
        </row>
        <row r="22">
          <cell r="B22" t="str">
            <v>Mental Health (NHS)</v>
          </cell>
          <cell r="C22">
            <v>0</v>
          </cell>
          <cell r="D22">
            <v>0.01</v>
          </cell>
          <cell r="E22">
            <v>0.01</v>
          </cell>
          <cell r="F22">
            <v>0.01</v>
          </cell>
          <cell r="G22">
            <v>0.01</v>
          </cell>
          <cell r="H22">
            <v>0.01</v>
          </cell>
        </row>
        <row r="23">
          <cell r="B23" t="str">
            <v>Overheads / Other</v>
          </cell>
          <cell r="C23">
            <v>0</v>
          </cell>
          <cell r="D23">
            <v>0</v>
          </cell>
          <cell r="E23">
            <v>0</v>
          </cell>
          <cell r="F23">
            <v>0</v>
          </cell>
          <cell r="G23">
            <v>0</v>
          </cell>
          <cell r="H23">
            <v>0</v>
          </cell>
        </row>
        <row r="24">
          <cell r="B24" t="str">
            <v>Prescribing</v>
          </cell>
          <cell r="C24">
            <v>0.04</v>
          </cell>
          <cell r="D24">
            <v>0.03</v>
          </cell>
          <cell r="E24">
            <v>0.03</v>
          </cell>
          <cell r="F24">
            <v>0.03</v>
          </cell>
          <cell r="G24">
            <v>0.03</v>
          </cell>
          <cell r="H24">
            <v>0.03</v>
          </cell>
        </row>
        <row r="25">
          <cell r="B25" t="str">
            <v>Primary Care</v>
          </cell>
          <cell r="C25">
            <v>0</v>
          </cell>
          <cell r="D25">
            <v>0.01</v>
          </cell>
          <cell r="E25">
            <v>0.01</v>
          </cell>
          <cell r="F25">
            <v>0.01</v>
          </cell>
          <cell r="G25">
            <v>0.01</v>
          </cell>
          <cell r="H25">
            <v>0.01</v>
          </cell>
        </row>
      </sheetData>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82"/>
  <sheetViews>
    <sheetView tabSelected="1" topLeftCell="A50" zoomScale="85" zoomScaleNormal="85" workbookViewId="0">
      <selection activeCell="B59" sqref="B59"/>
    </sheetView>
  </sheetViews>
  <sheetFormatPr defaultRowHeight="12.75" x14ac:dyDescent="0.2"/>
  <cols>
    <col min="1" max="1" width="2.85546875" style="259" customWidth="1"/>
    <col min="2" max="2" width="26.42578125" style="259" customWidth="1"/>
    <col min="3" max="3" width="10.28515625" style="259" bestFit="1" customWidth="1"/>
    <col min="4" max="4" width="10.28515625" style="259" customWidth="1"/>
    <col min="5" max="5" width="9.85546875" style="259" customWidth="1"/>
    <col min="6" max="6" width="3" style="259" customWidth="1"/>
    <col min="7" max="7" width="11.140625" style="259" bestFit="1" customWidth="1"/>
    <col min="8" max="8" width="11.140625" style="259" customWidth="1"/>
    <col min="9" max="9" width="9.85546875" style="259" customWidth="1"/>
    <col min="10" max="10" width="3.42578125" style="259" customWidth="1"/>
    <col min="11" max="11" width="9.7109375" style="259" bestFit="1" customWidth="1"/>
    <col min="12" max="12" width="9.7109375" style="259" customWidth="1"/>
    <col min="13" max="13" width="9.85546875" style="259" customWidth="1"/>
    <col min="14" max="14" width="3.5703125" style="259" customWidth="1"/>
    <col min="15" max="15" width="9.7109375" style="259" bestFit="1" customWidth="1"/>
    <col min="16" max="16" width="9.7109375" style="259" customWidth="1"/>
    <col min="17" max="17" width="9.85546875" style="259" customWidth="1"/>
    <col min="18" max="18" width="3.7109375" style="259" customWidth="1"/>
    <col min="19" max="19" width="9.7109375" style="259" bestFit="1" customWidth="1"/>
    <col min="20" max="20" width="9.7109375" style="259" customWidth="1"/>
    <col min="21" max="21" width="9.85546875" style="259" customWidth="1"/>
    <col min="22" max="22" width="8" style="259" bestFit="1" customWidth="1"/>
    <col min="23" max="23" width="8.7109375" style="259" bestFit="1" customWidth="1"/>
    <col min="24" max="16384" width="9.140625" style="259"/>
  </cols>
  <sheetData>
    <row r="1" spans="2:22" hidden="1" x14ac:dyDescent="0.2"/>
    <row r="2" spans="2:22" hidden="1" x14ac:dyDescent="0.2">
      <c r="B2" s="260" t="s">
        <v>542</v>
      </c>
    </row>
    <row r="3" spans="2:22" ht="13.5" hidden="1" thickBot="1" x14ac:dyDescent="0.25"/>
    <row r="4" spans="2:22" ht="13.5" hidden="1" thickBot="1" x14ac:dyDescent="0.25">
      <c r="B4" s="261"/>
      <c r="C4" s="579" t="s">
        <v>523</v>
      </c>
      <c r="D4" s="580"/>
      <c r="E4" s="581"/>
      <c r="F4" s="262"/>
      <c r="G4" s="582" t="s">
        <v>524</v>
      </c>
      <c r="H4" s="583"/>
      <c r="I4" s="584"/>
      <c r="J4" s="262"/>
      <c r="K4" s="585" t="s">
        <v>525</v>
      </c>
      <c r="L4" s="586"/>
      <c r="M4" s="587"/>
      <c r="N4" s="262"/>
      <c r="O4" s="588" t="s">
        <v>526</v>
      </c>
      <c r="P4" s="589"/>
      <c r="Q4" s="590"/>
      <c r="R4" s="262"/>
      <c r="S4" s="591" t="s">
        <v>527</v>
      </c>
      <c r="T4" s="592"/>
      <c r="U4" s="593"/>
      <c r="V4" s="255"/>
    </row>
    <row r="5" spans="2:22" hidden="1" x14ac:dyDescent="0.2">
      <c r="B5" s="263"/>
      <c r="C5" s="264" t="s">
        <v>522</v>
      </c>
      <c r="D5" s="265" t="s">
        <v>453</v>
      </c>
      <c r="E5" s="266" t="s">
        <v>536</v>
      </c>
      <c r="F5" s="267"/>
      <c r="G5" s="264" t="s">
        <v>522</v>
      </c>
      <c r="H5" s="265" t="s">
        <v>453</v>
      </c>
      <c r="I5" s="266" t="s">
        <v>536</v>
      </c>
      <c r="J5" s="267"/>
      <c r="K5" s="264" t="s">
        <v>522</v>
      </c>
      <c r="L5" s="265" t="s">
        <v>453</v>
      </c>
      <c r="M5" s="266" t="s">
        <v>536</v>
      </c>
      <c r="N5" s="267"/>
      <c r="O5" s="264" t="s">
        <v>522</v>
      </c>
      <c r="P5" s="265" t="s">
        <v>453</v>
      </c>
      <c r="Q5" s="266" t="s">
        <v>536</v>
      </c>
      <c r="R5" s="267"/>
      <c r="S5" s="264" t="s">
        <v>522</v>
      </c>
      <c r="T5" s="265"/>
      <c r="U5" s="266" t="s">
        <v>536</v>
      </c>
      <c r="V5" s="255"/>
    </row>
    <row r="6" spans="2:22" hidden="1" x14ac:dyDescent="0.2">
      <c r="B6" s="263"/>
      <c r="C6" s="268" t="s">
        <v>543</v>
      </c>
      <c r="D6" s="269" t="s">
        <v>543</v>
      </c>
      <c r="E6" s="270" t="s">
        <v>543</v>
      </c>
      <c r="F6" s="267"/>
      <c r="G6" s="268" t="s">
        <v>543</v>
      </c>
      <c r="H6" s="269" t="s">
        <v>543</v>
      </c>
      <c r="I6" s="270" t="s">
        <v>543</v>
      </c>
      <c r="J6" s="267"/>
      <c r="K6" s="268" t="s">
        <v>543</v>
      </c>
      <c r="L6" s="269" t="s">
        <v>543</v>
      </c>
      <c r="M6" s="270" t="s">
        <v>543</v>
      </c>
      <c r="N6" s="267"/>
      <c r="O6" s="268" t="s">
        <v>543</v>
      </c>
      <c r="P6" s="269" t="s">
        <v>543</v>
      </c>
      <c r="Q6" s="270" t="s">
        <v>543</v>
      </c>
      <c r="R6" s="267"/>
      <c r="S6" s="268" t="s">
        <v>543</v>
      </c>
      <c r="T6" s="269" t="s">
        <v>543</v>
      </c>
      <c r="U6" s="270" t="s">
        <v>543</v>
      </c>
    </row>
    <row r="7" spans="2:22" hidden="1" x14ac:dyDescent="0.2">
      <c r="B7" s="271" t="s">
        <v>419</v>
      </c>
      <c r="C7" s="272"/>
      <c r="D7" s="273"/>
      <c r="E7" s="274"/>
      <c r="F7" s="275"/>
      <c r="G7" s="272"/>
      <c r="H7" s="273"/>
      <c r="I7" s="274"/>
      <c r="J7" s="275"/>
      <c r="K7" s="272"/>
      <c r="L7" s="273"/>
      <c r="M7" s="274"/>
      <c r="N7" s="275"/>
      <c r="O7" s="272"/>
      <c r="P7" s="273"/>
      <c r="Q7" s="274"/>
      <c r="R7" s="275"/>
      <c r="S7" s="272"/>
      <c r="T7" s="273"/>
      <c r="U7" s="274"/>
      <c r="V7" s="255"/>
    </row>
    <row r="8" spans="2:22" hidden="1" x14ac:dyDescent="0.2">
      <c r="B8" s="263" t="s">
        <v>529</v>
      </c>
      <c r="C8" s="276">
        <f>-'PCT Format'!BH188/1000</f>
        <v>-335504.80451799999</v>
      </c>
      <c r="D8" s="277"/>
      <c r="E8" s="278">
        <f>+C8+D8</f>
        <v>-335504.80451799999</v>
      </c>
      <c r="F8" s="279"/>
      <c r="G8" s="276" t="e">
        <f>+C10+C12</f>
        <v>#REF!</v>
      </c>
      <c r="H8" s="277"/>
      <c r="I8" s="278" t="e">
        <f>+G8+H8</f>
        <v>#REF!</v>
      </c>
      <c r="J8" s="279"/>
      <c r="K8" s="276" t="e">
        <f>G8+G9+G12+G13</f>
        <v>#REF!</v>
      </c>
      <c r="L8" s="277"/>
      <c r="M8" s="278" t="e">
        <f>+K8+L8</f>
        <v>#REF!</v>
      </c>
      <c r="N8" s="279"/>
      <c r="O8" s="276" t="e">
        <f>K8+K9+K12</f>
        <v>#REF!</v>
      </c>
      <c r="P8" s="277"/>
      <c r="Q8" s="278" t="e">
        <f>+O8+P8</f>
        <v>#REF!</v>
      </c>
      <c r="R8" s="279"/>
      <c r="S8" s="276" t="e">
        <f>O8+O9+O12</f>
        <v>#REF!</v>
      </c>
      <c r="T8" s="277"/>
      <c r="U8" s="278" t="e">
        <f>+S8+T8</f>
        <v>#REF!</v>
      </c>
      <c r="V8" s="255"/>
    </row>
    <row r="9" spans="2:22" hidden="1" x14ac:dyDescent="0.2">
      <c r="B9" s="263" t="s">
        <v>520</v>
      </c>
      <c r="C9" s="276" t="e">
        <f>-'PCT Format'!BH189/1000</f>
        <v>#REF!</v>
      </c>
      <c r="D9" s="277"/>
      <c r="E9" s="278" t="e">
        <f t="shared" ref="E9:E14" si="0">+C9+D9</f>
        <v>#REF!</v>
      </c>
      <c r="F9" s="279"/>
      <c r="G9" s="276" t="e">
        <f>-'PCT Format'!BY189/1000</f>
        <v>#REF!</v>
      </c>
      <c r="H9" s="277"/>
      <c r="I9" s="278" t="e">
        <f t="shared" ref="I9:I14" si="1">+G9+H9</f>
        <v>#REF!</v>
      </c>
      <c r="J9" s="279"/>
      <c r="K9" s="276" t="e">
        <f>-'PCT Format'!CO189/1000</f>
        <v>#REF!</v>
      </c>
      <c r="L9" s="277"/>
      <c r="M9" s="278" t="e">
        <f t="shared" ref="M9:M14" si="2">+K9+L9</f>
        <v>#REF!</v>
      </c>
      <c r="N9" s="279"/>
      <c r="O9" s="276" t="e">
        <f>-'PCT Format'!DE189/1000</f>
        <v>#REF!</v>
      </c>
      <c r="P9" s="277"/>
      <c r="Q9" s="278" t="e">
        <f t="shared" ref="Q9:Q14" si="3">+O9+P9</f>
        <v>#REF!</v>
      </c>
      <c r="R9" s="279"/>
      <c r="S9" s="276" t="e">
        <f>-'PCT Format'!DZ189/1000</f>
        <v>#REF!</v>
      </c>
      <c r="T9" s="277"/>
      <c r="U9" s="278" t="e">
        <f t="shared" ref="U9:U14" si="4">+S9+T9</f>
        <v>#REF!</v>
      </c>
    </row>
    <row r="10" spans="2:22" hidden="1" x14ac:dyDescent="0.2">
      <c r="B10" s="280" t="s">
        <v>537</v>
      </c>
      <c r="C10" s="281" t="e">
        <f>C8+C9</f>
        <v>#REF!</v>
      </c>
      <c r="D10" s="258"/>
      <c r="E10" s="278" t="e">
        <f t="shared" si="0"/>
        <v>#REF!</v>
      </c>
      <c r="F10" s="279"/>
      <c r="G10" s="281" t="e">
        <f>G8+G9</f>
        <v>#REF!</v>
      </c>
      <c r="H10" s="258"/>
      <c r="I10" s="278" t="e">
        <f t="shared" si="1"/>
        <v>#REF!</v>
      </c>
      <c r="J10" s="279"/>
      <c r="K10" s="281" t="e">
        <f>K8+K9</f>
        <v>#REF!</v>
      </c>
      <c r="L10" s="258"/>
      <c r="M10" s="278" t="e">
        <f t="shared" si="2"/>
        <v>#REF!</v>
      </c>
      <c r="N10" s="279"/>
      <c r="O10" s="281" t="e">
        <f>O8+O9</f>
        <v>#REF!</v>
      </c>
      <c r="P10" s="258"/>
      <c r="Q10" s="278" t="e">
        <f t="shared" si="3"/>
        <v>#REF!</v>
      </c>
      <c r="R10" s="279"/>
      <c r="S10" s="281" t="e">
        <f>S8+S9</f>
        <v>#REF!</v>
      </c>
      <c r="T10" s="258"/>
      <c r="U10" s="278" t="e">
        <f t="shared" si="4"/>
        <v>#REF!</v>
      </c>
    </row>
    <row r="11" spans="2:22" hidden="1" x14ac:dyDescent="0.2">
      <c r="B11" s="263" t="s">
        <v>381</v>
      </c>
      <c r="C11" s="276">
        <f>-'PCT Format'!BH193/1000</f>
        <v>-7180</v>
      </c>
      <c r="D11" s="277"/>
      <c r="E11" s="278">
        <f t="shared" si="0"/>
        <v>-7180</v>
      </c>
      <c r="F11" s="279"/>
      <c r="G11" s="276">
        <f>-'PCT Format'!BY193/1000</f>
        <v>-6462</v>
      </c>
      <c r="H11" s="277"/>
      <c r="I11" s="278">
        <f t="shared" si="1"/>
        <v>-6462</v>
      </c>
      <c r="J11" s="279"/>
      <c r="K11" s="276">
        <f>-'PCT Format'!CO193/1000</f>
        <v>-6462</v>
      </c>
      <c r="L11" s="277"/>
      <c r="M11" s="278">
        <f t="shared" si="2"/>
        <v>-6462</v>
      </c>
      <c r="N11" s="279"/>
      <c r="O11" s="276">
        <f>-'PCT Format'!DE193/1000</f>
        <v>-6462</v>
      </c>
      <c r="P11" s="277"/>
      <c r="Q11" s="278">
        <f t="shared" si="3"/>
        <v>-6462</v>
      </c>
      <c r="R11" s="279"/>
      <c r="S11" s="276">
        <f>-'PCT Format'!DZ193/1000</f>
        <v>-6462</v>
      </c>
      <c r="T11" s="277"/>
      <c r="U11" s="278">
        <f t="shared" si="4"/>
        <v>-6462</v>
      </c>
    </row>
    <row r="12" spans="2:22" hidden="1" x14ac:dyDescent="0.2">
      <c r="B12" s="263" t="s">
        <v>544</v>
      </c>
      <c r="C12" s="276">
        <v>0</v>
      </c>
      <c r="D12" s="277"/>
      <c r="E12" s="278">
        <f t="shared" si="0"/>
        <v>0</v>
      </c>
      <c r="F12" s="279"/>
      <c r="G12" s="276">
        <f>-'PCT Format'!BY191/1000</f>
        <v>18404</v>
      </c>
      <c r="H12" s="277"/>
      <c r="I12" s="278">
        <f t="shared" si="1"/>
        <v>18404</v>
      </c>
      <c r="J12" s="279"/>
      <c r="K12" s="282"/>
      <c r="L12" s="277"/>
      <c r="M12" s="278">
        <f t="shared" si="2"/>
        <v>0</v>
      </c>
      <c r="N12" s="279"/>
      <c r="O12" s="282"/>
      <c r="P12" s="277"/>
      <c r="Q12" s="278">
        <f t="shared" si="3"/>
        <v>0</v>
      </c>
      <c r="R12" s="279"/>
      <c r="S12" s="282"/>
      <c r="T12" s="277"/>
      <c r="U12" s="278">
        <f t="shared" si="4"/>
        <v>0</v>
      </c>
    </row>
    <row r="13" spans="2:22" hidden="1" x14ac:dyDescent="0.2">
      <c r="B13" s="263" t="s">
        <v>545</v>
      </c>
      <c r="C13" s="276">
        <v>0</v>
      </c>
      <c r="D13" s="277"/>
      <c r="E13" s="278">
        <f t="shared" si="0"/>
        <v>0</v>
      </c>
      <c r="F13" s="279"/>
      <c r="G13" s="276">
        <f>-'PCT Format'!BY192/1000</f>
        <v>-5881</v>
      </c>
      <c r="H13" s="277"/>
      <c r="I13" s="278">
        <f t="shared" si="1"/>
        <v>-5881</v>
      </c>
      <c r="J13" s="279"/>
      <c r="K13" s="282"/>
      <c r="L13" s="277"/>
      <c r="M13" s="278">
        <f t="shared" si="2"/>
        <v>0</v>
      </c>
      <c r="N13" s="279"/>
      <c r="O13" s="282"/>
      <c r="P13" s="277"/>
      <c r="Q13" s="278">
        <f t="shared" si="3"/>
        <v>0</v>
      </c>
      <c r="R13" s="279"/>
      <c r="S13" s="282"/>
      <c r="T13" s="277"/>
      <c r="U13" s="278">
        <f t="shared" si="4"/>
        <v>0</v>
      </c>
    </row>
    <row r="14" spans="2:22" hidden="1" x14ac:dyDescent="0.2">
      <c r="B14" s="263" t="s">
        <v>546</v>
      </c>
      <c r="C14" s="282"/>
      <c r="D14" s="283" t="e">
        <f>-'PCT Format'!BM197/1000</f>
        <v>#REF!</v>
      </c>
      <c r="E14" s="278" t="e">
        <f t="shared" si="0"/>
        <v>#REF!</v>
      </c>
      <c r="F14" s="279"/>
      <c r="G14" s="282"/>
      <c r="H14" s="283" t="e">
        <f>E31</f>
        <v>#REF!</v>
      </c>
      <c r="I14" s="284" t="e">
        <f t="shared" si="1"/>
        <v>#REF!</v>
      </c>
      <c r="J14" s="279"/>
      <c r="K14" s="282"/>
      <c r="L14" s="283" t="e">
        <f>I31</f>
        <v>#REF!</v>
      </c>
      <c r="M14" s="278" t="e">
        <f t="shared" si="2"/>
        <v>#REF!</v>
      </c>
      <c r="N14" s="279"/>
      <c r="O14" s="282"/>
      <c r="P14" s="283" t="e">
        <f>M31</f>
        <v>#REF!</v>
      </c>
      <c r="Q14" s="278" t="e">
        <f t="shared" si="3"/>
        <v>#REF!</v>
      </c>
      <c r="R14" s="279"/>
      <c r="S14" s="282"/>
      <c r="T14" s="283" t="e">
        <f>Q31</f>
        <v>#REF!</v>
      </c>
      <c r="U14" s="278" t="e">
        <f t="shared" si="4"/>
        <v>#REF!</v>
      </c>
    </row>
    <row r="15" spans="2:22" hidden="1" x14ac:dyDescent="0.2">
      <c r="B15" s="285" t="s">
        <v>547</v>
      </c>
      <c r="C15" s="286" t="e">
        <f>SUM(C10:C14)</f>
        <v>#REF!</v>
      </c>
      <c r="D15" s="287" t="e">
        <f t="shared" ref="D15:I15" si="5">SUM(D10:D14)</f>
        <v>#REF!</v>
      </c>
      <c r="E15" s="288" t="e">
        <f t="shared" si="5"/>
        <v>#REF!</v>
      </c>
      <c r="F15" s="289"/>
      <c r="G15" s="290" t="e">
        <f>SUM(G10:G14)</f>
        <v>#REF!</v>
      </c>
      <c r="H15" s="287" t="e">
        <f>SUM(H10:H14)</f>
        <v>#REF!</v>
      </c>
      <c r="I15" s="288" t="e">
        <f t="shared" si="5"/>
        <v>#REF!</v>
      </c>
      <c r="J15" s="289"/>
      <c r="K15" s="290" t="e">
        <f>SUM(K10:K14)</f>
        <v>#REF!</v>
      </c>
      <c r="L15" s="287" t="e">
        <f>SUM(L10:L14)</f>
        <v>#REF!</v>
      </c>
      <c r="M15" s="288" t="e">
        <f t="shared" ref="M15" si="6">SUM(M10:M14)</f>
        <v>#REF!</v>
      </c>
      <c r="N15" s="289"/>
      <c r="O15" s="290" t="e">
        <f>SUM(O10:O14)</f>
        <v>#REF!</v>
      </c>
      <c r="P15" s="287" t="e">
        <f>SUM(P10:P14)</f>
        <v>#REF!</v>
      </c>
      <c r="Q15" s="288" t="e">
        <f t="shared" ref="Q15" si="7">SUM(Q10:Q14)</f>
        <v>#REF!</v>
      </c>
      <c r="R15" s="289"/>
      <c r="S15" s="290" t="e">
        <f>SUM(S10:S14)</f>
        <v>#REF!</v>
      </c>
      <c r="T15" s="287" t="e">
        <f>SUM(T10:T14)</f>
        <v>#REF!</v>
      </c>
      <c r="U15" s="288" t="e">
        <f t="shared" ref="U15" si="8">SUM(U10:U14)</f>
        <v>#REF!</v>
      </c>
    </row>
    <row r="16" spans="2:22" ht="6.75" hidden="1" customHeight="1" x14ac:dyDescent="0.2">
      <c r="B16" s="291"/>
      <c r="C16" s="281"/>
      <c r="D16" s="292"/>
      <c r="E16" s="293"/>
      <c r="F16" s="289"/>
      <c r="G16" s="281"/>
      <c r="H16" s="294"/>
      <c r="I16" s="295"/>
      <c r="J16" s="289"/>
      <c r="K16" s="281"/>
      <c r="L16" s="294"/>
      <c r="M16" s="295"/>
      <c r="N16" s="289"/>
      <c r="O16" s="281"/>
      <c r="P16" s="294"/>
      <c r="Q16" s="295"/>
      <c r="R16" s="289"/>
      <c r="S16" s="281"/>
      <c r="T16" s="294"/>
      <c r="U16" s="295"/>
    </row>
    <row r="17" spans="2:22" hidden="1" x14ac:dyDescent="0.2">
      <c r="B17" s="296" t="s">
        <v>422</v>
      </c>
      <c r="C17" s="297"/>
      <c r="D17" s="298"/>
      <c r="E17" s="299"/>
      <c r="F17" s="300"/>
      <c r="G17" s="276"/>
      <c r="H17" s="301"/>
      <c r="I17" s="302"/>
      <c r="J17" s="300"/>
      <c r="K17" s="276"/>
      <c r="L17" s="301"/>
      <c r="M17" s="302"/>
      <c r="N17" s="300"/>
      <c r="O17" s="276"/>
      <c r="P17" s="301"/>
      <c r="Q17" s="302"/>
      <c r="R17" s="300"/>
      <c r="S17" s="276"/>
      <c r="T17" s="301"/>
      <c r="U17" s="302"/>
    </row>
    <row r="18" spans="2:22" hidden="1" x14ac:dyDescent="0.2">
      <c r="B18" s="263" t="s">
        <v>528</v>
      </c>
      <c r="C18" s="276">
        <f>('PCT Format'!AY186+'PCT Format'!AZ186)/1000</f>
        <v>336468.45257592679</v>
      </c>
      <c r="D18" s="277"/>
      <c r="E18" s="278">
        <f t="shared" ref="E18:E26" si="9">+C18+D18</f>
        <v>336468.45257592679</v>
      </c>
      <c r="F18" s="279"/>
      <c r="G18" s="276" t="e">
        <f>+'PCT Format'!BO186/1000+'PCT Format'!BP186/1000</f>
        <v>#REF!</v>
      </c>
      <c r="H18" s="277"/>
      <c r="I18" s="278" t="e">
        <f t="shared" ref="I18:I25" si="10">+G18+H18</f>
        <v>#REF!</v>
      </c>
      <c r="J18" s="279"/>
      <c r="K18" s="276" t="e">
        <f>'PCT Format'!CF186/1000</f>
        <v>#REF!</v>
      </c>
      <c r="L18" s="277"/>
      <c r="M18" s="278" t="e">
        <f t="shared" ref="M18:M25" si="11">+K18+L18</f>
        <v>#REF!</v>
      </c>
      <c r="N18" s="279"/>
      <c r="O18" s="276" t="e">
        <f>'PCT Format'!CV186/1000</f>
        <v>#REF!</v>
      </c>
      <c r="P18" s="277"/>
      <c r="Q18" s="278" t="e">
        <f t="shared" ref="Q18:Q25" si="12">+O18+P18</f>
        <v>#REF!</v>
      </c>
      <c r="R18" s="279"/>
      <c r="S18" s="276" t="e">
        <f>'PCT Format'!DL186/1000</f>
        <v>#REF!</v>
      </c>
      <c r="T18" s="277"/>
      <c r="U18" s="278" t="e">
        <f t="shared" ref="U18:U25" si="13">+S18+T18</f>
        <v>#REF!</v>
      </c>
      <c r="V18" s="303"/>
    </row>
    <row r="19" spans="2:22" hidden="1" x14ac:dyDescent="0.2">
      <c r="B19" s="263" t="s">
        <v>548</v>
      </c>
      <c r="C19" s="276">
        <f>'PCT Format'!BA186/1000</f>
        <v>4950.5144362888414</v>
      </c>
      <c r="D19" s="277"/>
      <c r="E19" s="278">
        <f t="shared" si="9"/>
        <v>4950.5144362888414</v>
      </c>
      <c r="F19" s="279"/>
      <c r="G19" s="276" t="e">
        <f>'PCT Format'!BQ186/1000</f>
        <v>#REF!</v>
      </c>
      <c r="H19" s="277"/>
      <c r="I19" s="278" t="e">
        <f t="shared" si="10"/>
        <v>#REF!</v>
      </c>
      <c r="J19" s="279"/>
      <c r="K19" s="276" t="e">
        <f>'PCT Format'!CH186/1000</f>
        <v>#REF!</v>
      </c>
      <c r="L19" s="277"/>
      <c r="M19" s="278" t="e">
        <f t="shared" si="11"/>
        <v>#REF!</v>
      </c>
      <c r="N19" s="279"/>
      <c r="O19" s="276" t="e">
        <f>'PCT Format'!CX186/1000</f>
        <v>#REF!</v>
      </c>
      <c r="P19" s="277"/>
      <c r="Q19" s="278" t="e">
        <f t="shared" si="12"/>
        <v>#REF!</v>
      </c>
      <c r="R19" s="279"/>
      <c r="S19" s="276" t="e">
        <f>'PCT Format'!DN186/1000</f>
        <v>#REF!</v>
      </c>
      <c r="T19" s="277"/>
      <c r="U19" s="278" t="e">
        <f t="shared" si="13"/>
        <v>#REF!</v>
      </c>
      <c r="V19" s="303"/>
    </row>
    <row r="20" spans="2:22" hidden="1" x14ac:dyDescent="0.2">
      <c r="B20" s="263" t="s">
        <v>399</v>
      </c>
      <c r="C20" s="276" t="e">
        <f>'PCT Format'!BB186/1000</f>
        <v>#REF!</v>
      </c>
      <c r="D20" s="277"/>
      <c r="E20" s="278" t="e">
        <f t="shared" si="9"/>
        <v>#REF!</v>
      </c>
      <c r="F20" s="279"/>
      <c r="G20" s="276" t="e">
        <f>'PCT Format'!BR186/1000</f>
        <v>#REF!</v>
      </c>
      <c r="H20" s="277"/>
      <c r="I20" s="278" t="e">
        <f t="shared" si="10"/>
        <v>#REF!</v>
      </c>
      <c r="J20" s="279"/>
      <c r="K20" s="276" t="e">
        <f>'PCT Format'!CI186/1000</f>
        <v>#REF!</v>
      </c>
      <c r="L20" s="277"/>
      <c r="M20" s="278" t="e">
        <f t="shared" si="11"/>
        <v>#REF!</v>
      </c>
      <c r="N20" s="279"/>
      <c r="O20" s="276" t="e">
        <f>'PCT Format'!CY186/1000</f>
        <v>#REF!</v>
      </c>
      <c r="P20" s="277"/>
      <c r="Q20" s="278" t="e">
        <f t="shared" si="12"/>
        <v>#REF!</v>
      </c>
      <c r="R20" s="279"/>
      <c r="S20" s="276" t="e">
        <f>'PCT Format'!DO186/1000</f>
        <v>#REF!</v>
      </c>
      <c r="T20" s="277"/>
      <c r="U20" s="278" t="e">
        <f t="shared" si="13"/>
        <v>#REF!</v>
      </c>
      <c r="V20" s="303"/>
    </row>
    <row r="21" spans="2:22" hidden="1" x14ac:dyDescent="0.2">
      <c r="B21" s="263" t="s">
        <v>400</v>
      </c>
      <c r="C21" s="276" t="e">
        <f>'PCT Format'!BC186/1000</f>
        <v>#REF!</v>
      </c>
      <c r="D21" s="277"/>
      <c r="E21" s="278" t="e">
        <f t="shared" si="9"/>
        <v>#REF!</v>
      </c>
      <c r="F21" s="279"/>
      <c r="G21" s="276" t="e">
        <f>'PCT Format'!BS186/1000</f>
        <v>#REF!</v>
      </c>
      <c r="H21" s="277"/>
      <c r="I21" s="278" t="e">
        <f t="shared" si="10"/>
        <v>#REF!</v>
      </c>
      <c r="J21" s="279"/>
      <c r="K21" s="276" t="e">
        <f>'PCT Format'!CJ186/1000</f>
        <v>#REF!</v>
      </c>
      <c r="L21" s="277"/>
      <c r="M21" s="278" t="e">
        <f t="shared" si="11"/>
        <v>#REF!</v>
      </c>
      <c r="N21" s="279"/>
      <c r="O21" s="276" t="e">
        <f>'PCT Format'!CZ186/1000</f>
        <v>#REF!</v>
      </c>
      <c r="P21" s="277"/>
      <c r="Q21" s="278" t="e">
        <f t="shared" si="12"/>
        <v>#REF!</v>
      </c>
      <c r="R21" s="279"/>
      <c r="S21" s="276" t="e">
        <f>'PCT Format'!DP186/1000</f>
        <v>#REF!</v>
      </c>
      <c r="T21" s="277"/>
      <c r="U21" s="278" t="e">
        <f t="shared" si="13"/>
        <v>#REF!</v>
      </c>
      <c r="V21" s="303"/>
    </row>
    <row r="22" spans="2:22" hidden="1" x14ac:dyDescent="0.2">
      <c r="B22" s="263" t="s">
        <v>549</v>
      </c>
      <c r="C22" s="276" t="e">
        <f>'PCT Format'!BD163/1000</f>
        <v>#REF!</v>
      </c>
      <c r="D22" s="277"/>
      <c r="E22" s="278" t="e">
        <f t="shared" si="9"/>
        <v>#REF!</v>
      </c>
      <c r="F22" s="279"/>
      <c r="G22" s="276" t="e">
        <f>'PCT Format'!BT163/1000</f>
        <v>#REF!</v>
      </c>
      <c r="H22" s="277"/>
      <c r="I22" s="278" t="e">
        <f t="shared" si="10"/>
        <v>#REF!</v>
      </c>
      <c r="J22" s="279"/>
      <c r="K22" s="276" t="e">
        <f>'PCT Format'!CK163/1000</f>
        <v>#REF!</v>
      </c>
      <c r="L22" s="277"/>
      <c r="M22" s="278" t="e">
        <f t="shared" si="11"/>
        <v>#REF!</v>
      </c>
      <c r="N22" s="279"/>
      <c r="O22" s="276" t="e">
        <f>'PCT Format'!DA163/1000</f>
        <v>#REF!</v>
      </c>
      <c r="P22" s="277"/>
      <c r="Q22" s="278" t="e">
        <f t="shared" si="12"/>
        <v>#REF!</v>
      </c>
      <c r="R22" s="279"/>
      <c r="S22" s="276" t="e">
        <f>'PCT Format'!DQ163/1000</f>
        <v>#REF!</v>
      </c>
      <c r="T22" s="277"/>
      <c r="U22" s="278" t="e">
        <f t="shared" si="13"/>
        <v>#REF!</v>
      </c>
      <c r="V22" s="303"/>
    </row>
    <row r="23" spans="2:22" hidden="1" x14ac:dyDescent="0.2">
      <c r="B23" s="263" t="s">
        <v>551</v>
      </c>
      <c r="C23" s="276" t="e">
        <f>(+'PCT Format'!BD186-'PCT Format'!BD163)/1000</f>
        <v>#REF!</v>
      </c>
      <c r="D23" s="361"/>
      <c r="E23" s="362" t="e">
        <f>+C23+D23</f>
        <v>#REF!</v>
      </c>
      <c r="F23" s="363"/>
      <c r="G23" s="364" t="e">
        <f>(+'PCT Format'!BT186-'PCT Format'!BT163-'PCT Format'!BT108)/1000</f>
        <v>#REF!</v>
      </c>
      <c r="H23" s="361"/>
      <c r="I23" s="362" t="e">
        <f>+G23+H23</f>
        <v>#REF!</v>
      </c>
      <c r="J23" s="363"/>
      <c r="K23" s="365" t="e">
        <f>(+'PCT Format'!CK186-'PCT Format'!CK163)/1000</f>
        <v>#REF!</v>
      </c>
      <c r="L23" s="366"/>
      <c r="M23" s="362" t="e">
        <f>+K23+L23</f>
        <v>#REF!</v>
      </c>
      <c r="N23" s="363"/>
      <c r="O23" s="365" t="e">
        <f>(+'PCT Format'!DA186-'PCT Format'!DA163)/1000</f>
        <v>#REF!</v>
      </c>
      <c r="P23" s="366"/>
      <c r="Q23" s="362" t="e">
        <f>+O23+P23</f>
        <v>#REF!</v>
      </c>
      <c r="R23" s="363"/>
      <c r="S23" s="365" t="e">
        <f>(+'PCT Format'!DQ186-'PCT Format'!DQ163)/1000</f>
        <v>#REF!</v>
      </c>
      <c r="T23" s="366"/>
      <c r="U23" s="362" t="e">
        <f>+S23+T23</f>
        <v>#REF!</v>
      </c>
      <c r="V23" s="255"/>
    </row>
    <row r="24" spans="2:22" hidden="1" x14ac:dyDescent="0.2">
      <c r="B24" s="263" t="s">
        <v>550</v>
      </c>
      <c r="C24" s="304"/>
      <c r="D24" s="305"/>
      <c r="E24" s="278">
        <f t="shared" si="9"/>
        <v>0</v>
      </c>
      <c r="F24" s="279"/>
      <c r="G24" s="276" t="e">
        <f>'PCT Format'!BX186/1000</f>
        <v>#REF!</v>
      </c>
      <c r="H24" s="277"/>
      <c r="I24" s="278" t="e">
        <f t="shared" si="10"/>
        <v>#REF!</v>
      </c>
      <c r="J24" s="279"/>
      <c r="K24" s="282"/>
      <c r="L24" s="277"/>
      <c r="M24" s="278">
        <f t="shared" si="11"/>
        <v>0</v>
      </c>
      <c r="N24" s="279"/>
      <c r="O24" s="282"/>
      <c r="P24" s="277"/>
      <c r="Q24" s="278">
        <f t="shared" si="12"/>
        <v>0</v>
      </c>
      <c r="R24" s="279"/>
      <c r="S24" s="282"/>
      <c r="T24" s="277"/>
      <c r="U24" s="278">
        <f t="shared" si="13"/>
        <v>0</v>
      </c>
      <c r="V24" s="255"/>
    </row>
    <row r="25" spans="2:22" hidden="1" x14ac:dyDescent="0.2">
      <c r="B25" s="263" t="s">
        <v>538</v>
      </c>
      <c r="C25" s="304"/>
      <c r="D25" s="301" t="e">
        <f>'PCT Format'!BI142/1000</f>
        <v>#REF!</v>
      </c>
      <c r="E25" s="278" t="e">
        <f t="shared" si="9"/>
        <v>#REF!</v>
      </c>
      <c r="F25" s="279"/>
      <c r="G25" s="304"/>
      <c r="H25" s="301" t="e">
        <f>'PCT Format'!BZ142/1000</f>
        <v>#REF!</v>
      </c>
      <c r="I25" s="278" t="e">
        <f t="shared" si="10"/>
        <v>#REF!</v>
      </c>
      <c r="J25" s="279"/>
      <c r="K25" s="304"/>
      <c r="L25" s="301" t="e">
        <f>'PCT Format'!CP142/1000</f>
        <v>#REF!</v>
      </c>
      <c r="M25" s="278" t="e">
        <f t="shared" si="11"/>
        <v>#REF!</v>
      </c>
      <c r="N25" s="279"/>
      <c r="O25" s="304"/>
      <c r="P25" s="301" t="e">
        <f>'PCT Format'!DF142/1000</f>
        <v>#REF!</v>
      </c>
      <c r="Q25" s="278" t="e">
        <f t="shared" si="12"/>
        <v>#REF!</v>
      </c>
      <c r="R25" s="279"/>
      <c r="S25" s="304"/>
      <c r="T25" s="301" t="e">
        <f>'PCT Format'!DV142/1000</f>
        <v>#REF!</v>
      </c>
      <c r="U25" s="278" t="e">
        <f t="shared" si="13"/>
        <v>#REF!</v>
      </c>
      <c r="V25" s="255"/>
    </row>
    <row r="26" spans="2:22" hidden="1" x14ac:dyDescent="0.2">
      <c r="B26" s="263" t="s">
        <v>539</v>
      </c>
      <c r="C26" s="304"/>
      <c r="D26" s="283">
        <f>'PCT Format'!BI160/1000</f>
        <v>3355.0480451800004</v>
      </c>
      <c r="E26" s="278">
        <f t="shared" si="9"/>
        <v>3355.0480451800004</v>
      </c>
      <c r="F26" s="279"/>
      <c r="G26" s="304"/>
      <c r="H26" s="305"/>
      <c r="I26" s="306"/>
      <c r="J26" s="279"/>
      <c r="K26" s="304"/>
      <c r="L26" s="305"/>
      <c r="M26" s="306"/>
      <c r="N26" s="279"/>
      <c r="O26" s="304"/>
      <c r="P26" s="305"/>
      <c r="Q26" s="306"/>
      <c r="R26" s="279"/>
      <c r="S26" s="304"/>
      <c r="T26" s="305"/>
      <c r="U26" s="306"/>
      <c r="V26" s="255"/>
    </row>
    <row r="27" spans="2:22" hidden="1" x14ac:dyDescent="0.2">
      <c r="B27" s="307" t="s">
        <v>540</v>
      </c>
      <c r="C27" s="308" t="e">
        <f>SUM(C18:C26)</f>
        <v>#REF!</v>
      </c>
      <c r="D27" s="309" t="e">
        <f>SUM(D18:D26)</f>
        <v>#REF!</v>
      </c>
      <c r="E27" s="310" t="e">
        <f>SUM(E18:E26)</f>
        <v>#REF!</v>
      </c>
      <c r="F27" s="289"/>
      <c r="G27" s="311" t="e">
        <f>SUM(G18:G26)</f>
        <v>#REF!</v>
      </c>
      <c r="H27" s="311" t="e">
        <f>SUM(H18:H26)</f>
        <v>#REF!</v>
      </c>
      <c r="I27" s="310" t="e">
        <f>SUM(I18:I26)</f>
        <v>#REF!</v>
      </c>
      <c r="J27" s="289"/>
      <c r="K27" s="311" t="e">
        <f>SUM(K18:K22)</f>
        <v>#REF!</v>
      </c>
      <c r="L27" s="311" t="e">
        <f>SUM(L18:L26)</f>
        <v>#REF!</v>
      </c>
      <c r="M27" s="310" t="e">
        <f>SUM(M18:M26)</f>
        <v>#REF!</v>
      </c>
      <c r="N27" s="289"/>
      <c r="O27" s="311" t="e">
        <f>SUM(O18:O22)</f>
        <v>#REF!</v>
      </c>
      <c r="P27" s="311" t="e">
        <f>SUM(P18:P26)</f>
        <v>#REF!</v>
      </c>
      <c r="Q27" s="310" t="e">
        <f>SUM(Q18:Q26)</f>
        <v>#REF!</v>
      </c>
      <c r="R27" s="289"/>
      <c r="S27" s="311" t="e">
        <f>SUM(S18:S22)</f>
        <v>#REF!</v>
      </c>
      <c r="T27" s="311" t="e">
        <f>SUM(T18:T26)</f>
        <v>#REF!</v>
      </c>
      <c r="U27" s="310" t="e">
        <f>SUM(U18:U26)</f>
        <v>#REF!</v>
      </c>
    </row>
    <row r="28" spans="2:22" ht="7.5" hidden="1" customHeight="1" x14ac:dyDescent="0.2">
      <c r="B28" s="263"/>
      <c r="C28" s="276"/>
      <c r="D28" s="312"/>
      <c r="E28" s="313"/>
      <c r="F28" s="314"/>
      <c r="G28" s="276"/>
      <c r="H28" s="315"/>
      <c r="I28" s="302"/>
      <c r="J28" s="314"/>
      <c r="K28" s="276"/>
      <c r="L28" s="315"/>
      <c r="M28" s="302"/>
      <c r="N28" s="314"/>
      <c r="O28" s="276"/>
      <c r="P28" s="315"/>
      <c r="Q28" s="302"/>
      <c r="R28" s="314"/>
      <c r="S28" s="276"/>
      <c r="T28" s="315"/>
      <c r="U28" s="302"/>
    </row>
    <row r="29" spans="2:22" ht="20.25" hidden="1" customHeight="1" x14ac:dyDescent="0.2">
      <c r="B29" s="263" t="s">
        <v>552</v>
      </c>
      <c r="C29" s="276" t="e">
        <f>+'PCT Format'!BH182/1000</f>
        <v>#REF!</v>
      </c>
      <c r="D29" s="312">
        <f>+'PCT Format'!BK182/1000</f>
        <v>144.87200000000001</v>
      </c>
      <c r="E29" s="313" t="e">
        <f>+C29+D29</f>
        <v>#REF!</v>
      </c>
      <c r="F29" s="314"/>
      <c r="G29" s="276">
        <f>+'PCT Format'!BW182/1000</f>
        <v>-10543.161</v>
      </c>
      <c r="H29" s="301">
        <f>+'PCT Format'!CB182/1000</f>
        <v>3426.8470000000002</v>
      </c>
      <c r="I29" s="302">
        <f>+G29+H29</f>
        <v>-7116.3140000000003</v>
      </c>
      <c r="J29" s="314"/>
      <c r="K29" s="276">
        <f>+'PCT Format'!CN182/1000</f>
        <v>-4549.6769999999997</v>
      </c>
      <c r="L29" s="301">
        <f>+'PCT Format'!CR182/1000</f>
        <v>3485.1019999999999</v>
      </c>
      <c r="M29" s="302">
        <f>+K29+L29</f>
        <v>-1064.5749999999998</v>
      </c>
      <c r="N29" s="314"/>
      <c r="O29" s="276">
        <f>+'PCT Format'!DD182/1000</f>
        <v>-6105.5730000000003</v>
      </c>
      <c r="P29" s="301">
        <f>+'PCT Format'!DH182/1000</f>
        <v>3420.3510000000001</v>
      </c>
      <c r="Q29" s="302">
        <f>+O29+P29</f>
        <v>-2685.2220000000002</v>
      </c>
      <c r="R29" s="314"/>
      <c r="S29" s="276">
        <f>+'PCT Format'!DT182/1000</f>
        <v>-6572.9290000000001</v>
      </c>
      <c r="T29" s="301">
        <f>+'PCT Format'!DX182/1000</f>
        <v>3478.4960000000001</v>
      </c>
      <c r="U29" s="302">
        <f>+S29+T29</f>
        <v>-3094.433</v>
      </c>
    </row>
    <row r="30" spans="2:22" ht="15" hidden="1" customHeight="1" x14ac:dyDescent="0.2">
      <c r="B30" s="316" t="s">
        <v>553</v>
      </c>
      <c r="C30" s="317" t="e">
        <f>SUM(C27:C29)</f>
        <v>#REF!</v>
      </c>
      <c r="D30" s="318" t="e">
        <f>SUM(D27:D29)</f>
        <v>#REF!</v>
      </c>
      <c r="E30" s="319" t="e">
        <f>SUM(E27:E29)</f>
        <v>#REF!</v>
      </c>
      <c r="F30" s="314"/>
      <c r="G30" s="317" t="e">
        <f>SUM(G27:G29)</f>
        <v>#REF!</v>
      </c>
      <c r="H30" s="318" t="e">
        <f>SUM(H27:H29)</f>
        <v>#REF!</v>
      </c>
      <c r="I30" s="319" t="e">
        <f>SUM(I27:I29)</f>
        <v>#REF!</v>
      </c>
      <c r="J30" s="314"/>
      <c r="K30" s="317" t="e">
        <f>SUM(K27:K29)</f>
        <v>#REF!</v>
      </c>
      <c r="L30" s="318" t="e">
        <f>SUM(L27:L29)</f>
        <v>#REF!</v>
      </c>
      <c r="M30" s="319" t="e">
        <f>SUM(M27:M29)</f>
        <v>#REF!</v>
      </c>
      <c r="N30" s="314"/>
      <c r="O30" s="317" t="e">
        <f>SUM(O27:O29)</f>
        <v>#REF!</v>
      </c>
      <c r="P30" s="318" t="e">
        <f>SUM(P27:P29)</f>
        <v>#REF!</v>
      </c>
      <c r="Q30" s="319" t="e">
        <f>SUM(Q27:Q29)</f>
        <v>#REF!</v>
      </c>
      <c r="R30" s="314"/>
      <c r="S30" s="317" t="e">
        <f>SUM(S27:S29)</f>
        <v>#REF!</v>
      </c>
      <c r="T30" s="318" t="e">
        <f>SUM(T27:T29)</f>
        <v>#REF!</v>
      </c>
      <c r="U30" s="319" t="e">
        <f>SUM(U27:U29)</f>
        <v>#REF!</v>
      </c>
    </row>
    <row r="31" spans="2:22" ht="18.75" hidden="1" customHeight="1" x14ac:dyDescent="0.2">
      <c r="B31" s="320" t="s">
        <v>554</v>
      </c>
      <c r="C31" s="321" t="e">
        <f>+C15+C27+C29</f>
        <v>#REF!</v>
      </c>
      <c r="D31" s="322" t="e">
        <f>+D15+D27+D29</f>
        <v>#REF!</v>
      </c>
      <c r="E31" s="323" t="e">
        <f>+E15+E27+E29</f>
        <v>#REF!</v>
      </c>
      <c r="F31" s="289"/>
      <c r="G31" s="321" t="e">
        <f>+G15+G27+G29</f>
        <v>#REF!</v>
      </c>
      <c r="H31" s="322" t="e">
        <f>+H15+H27+H29</f>
        <v>#REF!</v>
      </c>
      <c r="I31" s="323" t="e">
        <f>+I15+I27+I29</f>
        <v>#REF!</v>
      </c>
      <c r="J31" s="289"/>
      <c r="K31" s="321" t="e">
        <f>+K15+K27+K29</f>
        <v>#REF!</v>
      </c>
      <c r="L31" s="322" t="e">
        <f>+L15+L27+L29</f>
        <v>#REF!</v>
      </c>
      <c r="M31" s="323" t="e">
        <f>+M15+M27+M29</f>
        <v>#REF!</v>
      </c>
      <c r="N31" s="289"/>
      <c r="O31" s="321" t="e">
        <f>+O15+O27+O29</f>
        <v>#REF!</v>
      </c>
      <c r="P31" s="322" t="e">
        <f>+P15+P27+P29</f>
        <v>#REF!</v>
      </c>
      <c r="Q31" s="323" t="e">
        <f>+Q15+Q27+Q29</f>
        <v>#REF!</v>
      </c>
      <c r="R31" s="289"/>
      <c r="S31" s="321" t="e">
        <f>+S15+S27+S29</f>
        <v>#REF!</v>
      </c>
      <c r="T31" s="322" t="e">
        <f>+T15+T27+T29</f>
        <v>#REF!</v>
      </c>
      <c r="U31" s="323" t="e">
        <f>+U15+U27+U29</f>
        <v>#REF!</v>
      </c>
      <c r="V31" s="255"/>
    </row>
    <row r="32" spans="2:22" ht="7.5" hidden="1" customHeight="1" x14ac:dyDescent="0.2">
      <c r="B32" s="291"/>
      <c r="C32" s="272"/>
      <c r="D32" s="273"/>
      <c r="E32" s="274"/>
      <c r="F32" s="275"/>
      <c r="G32" s="281"/>
      <c r="H32" s="324"/>
      <c r="I32" s="295"/>
      <c r="J32" s="275"/>
      <c r="K32" s="281"/>
      <c r="L32" s="324"/>
      <c r="M32" s="295"/>
      <c r="N32" s="275"/>
      <c r="O32" s="281"/>
      <c r="P32" s="324"/>
      <c r="Q32" s="295"/>
      <c r="R32" s="275"/>
      <c r="S32" s="281"/>
      <c r="T32" s="324"/>
      <c r="U32" s="295"/>
    </row>
    <row r="33" spans="2:23" ht="17.25" hidden="1" customHeight="1" x14ac:dyDescent="0.2">
      <c r="B33" s="291" t="s">
        <v>555</v>
      </c>
      <c r="C33" s="272"/>
      <c r="D33" s="273"/>
      <c r="E33" s="274"/>
      <c r="F33" s="275"/>
      <c r="G33" s="281"/>
      <c r="H33" s="324"/>
      <c r="I33" s="295"/>
      <c r="J33" s="275"/>
      <c r="K33" s="281"/>
      <c r="L33" s="324"/>
      <c r="M33" s="295"/>
      <c r="N33" s="275"/>
      <c r="O33" s="281"/>
      <c r="P33" s="324"/>
      <c r="Q33" s="295"/>
      <c r="R33" s="275"/>
      <c r="S33" s="281"/>
      <c r="T33" s="324"/>
      <c r="U33" s="295"/>
    </row>
    <row r="34" spans="2:23" hidden="1" x14ac:dyDescent="0.2">
      <c r="B34" s="263" t="s">
        <v>530</v>
      </c>
      <c r="C34" s="276" t="e">
        <f>+C10*0.025</f>
        <v>#REF!</v>
      </c>
      <c r="D34" s="312"/>
      <c r="E34" s="306"/>
      <c r="F34" s="314"/>
      <c r="G34" s="276" t="e">
        <f>+G10*0.02</f>
        <v>#REF!</v>
      </c>
      <c r="H34" s="312"/>
      <c r="I34" s="306"/>
      <c r="J34" s="314"/>
      <c r="K34" s="276" t="e">
        <f>+K10*0.02</f>
        <v>#REF!</v>
      </c>
      <c r="L34" s="312"/>
      <c r="M34" s="306"/>
      <c r="N34" s="314"/>
      <c r="O34" s="276" t="e">
        <f>+O10*0.02</f>
        <v>#REF!</v>
      </c>
      <c r="P34" s="312"/>
      <c r="Q34" s="306"/>
      <c r="R34" s="314"/>
      <c r="S34" s="276" t="e">
        <f>+S10*0.02</f>
        <v>#REF!</v>
      </c>
      <c r="T34" s="312"/>
      <c r="U34" s="306"/>
    </row>
    <row r="35" spans="2:23" hidden="1" x14ac:dyDescent="0.2">
      <c r="B35" s="291" t="s">
        <v>556</v>
      </c>
      <c r="C35" s="281" t="e">
        <f>C31-C34</f>
        <v>#REF!</v>
      </c>
      <c r="D35" s="292"/>
      <c r="E35" s="325"/>
      <c r="F35" s="289"/>
      <c r="G35" s="281" t="e">
        <f t="shared" ref="G35:S35" si="14">G31-G34</f>
        <v>#REF!</v>
      </c>
      <c r="H35" s="292"/>
      <c r="I35" s="325"/>
      <c r="J35" s="289"/>
      <c r="K35" s="281" t="e">
        <f t="shared" si="14"/>
        <v>#REF!</v>
      </c>
      <c r="L35" s="292"/>
      <c r="M35" s="325"/>
      <c r="N35" s="289"/>
      <c r="O35" s="281" t="e">
        <f t="shared" si="14"/>
        <v>#REF!</v>
      </c>
      <c r="P35" s="292"/>
      <c r="Q35" s="325"/>
      <c r="R35" s="289"/>
      <c r="S35" s="281" t="e">
        <f t="shared" si="14"/>
        <v>#REF!</v>
      </c>
      <c r="T35" s="292"/>
      <c r="U35" s="325"/>
      <c r="V35" s="326" t="e">
        <f>SUM(C35:S35)</f>
        <v>#REF!</v>
      </c>
      <c r="W35" s="327"/>
    </row>
    <row r="36" spans="2:23" hidden="1" x14ac:dyDescent="0.2">
      <c r="B36" s="328" t="s">
        <v>531</v>
      </c>
      <c r="C36" s="329"/>
      <c r="D36" s="258"/>
      <c r="E36" s="293" t="e">
        <f>+C34/2.5</f>
        <v>#REF!</v>
      </c>
      <c r="F36" s="289"/>
      <c r="G36" s="329"/>
      <c r="H36" s="258"/>
      <c r="I36" s="293" t="e">
        <f>+G34/2</f>
        <v>#REF!</v>
      </c>
      <c r="J36" s="289"/>
      <c r="K36" s="329"/>
      <c r="L36" s="258"/>
      <c r="M36" s="293" t="e">
        <f>+K34/2</f>
        <v>#REF!</v>
      </c>
      <c r="N36" s="289"/>
      <c r="O36" s="329"/>
      <c r="P36" s="258"/>
      <c r="Q36" s="293" t="e">
        <f>+O34/2</f>
        <v>#REF!</v>
      </c>
      <c r="R36" s="289"/>
      <c r="S36" s="329"/>
      <c r="T36" s="258"/>
      <c r="U36" s="293" t="e">
        <f>+S34/2</f>
        <v>#REF!</v>
      </c>
      <c r="V36" s="326"/>
      <c r="W36" s="327"/>
    </row>
    <row r="37" spans="2:23" ht="13.5" hidden="1" thickBot="1" x14ac:dyDescent="0.25">
      <c r="B37" s="330" t="s">
        <v>557</v>
      </c>
      <c r="C37" s="331"/>
      <c r="D37" s="332"/>
      <c r="E37" s="333" t="e">
        <f>E31-E36</f>
        <v>#REF!</v>
      </c>
      <c r="F37" s="334"/>
      <c r="G37" s="331"/>
      <c r="H37" s="332"/>
      <c r="I37" s="333" t="e">
        <f>I31-I36</f>
        <v>#REF!</v>
      </c>
      <c r="J37" s="334"/>
      <c r="K37" s="331"/>
      <c r="L37" s="332"/>
      <c r="M37" s="333" t="e">
        <f>M31-M36</f>
        <v>#REF!</v>
      </c>
      <c r="N37" s="334"/>
      <c r="O37" s="331"/>
      <c r="P37" s="332"/>
      <c r="Q37" s="333" t="e">
        <f>Q31-Q36</f>
        <v>#REF!</v>
      </c>
      <c r="R37" s="334"/>
      <c r="S37" s="331"/>
      <c r="T37" s="332"/>
      <c r="U37" s="333" t="e">
        <f>U31-U36</f>
        <v>#REF!</v>
      </c>
      <c r="V37" s="326"/>
      <c r="W37" s="327"/>
    </row>
    <row r="38" spans="2:23" hidden="1" x14ac:dyDescent="0.2">
      <c r="B38" s="255"/>
      <c r="C38" s="257"/>
      <c r="D38" s="257"/>
      <c r="E38" s="257"/>
      <c r="F38" s="257"/>
      <c r="G38" s="256"/>
      <c r="H38" s="256"/>
      <c r="I38" s="256"/>
      <c r="J38" s="256"/>
      <c r="K38" s="256"/>
      <c r="L38" s="256"/>
      <c r="M38" s="256"/>
      <c r="N38" s="256"/>
      <c r="O38" s="256"/>
      <c r="P38" s="256"/>
      <c r="Q38" s="256"/>
      <c r="R38" s="256"/>
      <c r="S38" s="256"/>
      <c r="T38" s="256"/>
      <c r="U38" s="256"/>
      <c r="V38" s="255"/>
    </row>
    <row r="39" spans="2:23" hidden="1" x14ac:dyDescent="0.2">
      <c r="B39" s="255" t="s">
        <v>558</v>
      </c>
      <c r="C39" s="256" t="e">
        <f>-C29</f>
        <v>#REF!</v>
      </c>
      <c r="D39" s="256"/>
      <c r="E39" s="256"/>
      <c r="F39" s="256"/>
      <c r="G39" s="256" t="e">
        <f>-G29+C39</f>
        <v>#REF!</v>
      </c>
      <c r="H39" s="256"/>
      <c r="I39" s="256"/>
      <c r="J39" s="256"/>
      <c r="K39" s="256" t="e">
        <f>-K29+G39</f>
        <v>#REF!</v>
      </c>
      <c r="L39" s="256"/>
      <c r="M39" s="256"/>
      <c r="N39" s="256"/>
      <c r="O39" s="256" t="e">
        <f>-O29+K39</f>
        <v>#REF!</v>
      </c>
      <c r="P39" s="256"/>
      <c r="Q39" s="256"/>
      <c r="R39" s="256"/>
      <c r="S39" s="256" t="e">
        <f>-S29+O39</f>
        <v>#REF!</v>
      </c>
      <c r="T39" s="256"/>
      <c r="U39" s="256"/>
      <c r="V39" s="255"/>
    </row>
    <row r="40" spans="2:23" hidden="1" x14ac:dyDescent="0.2">
      <c r="B40" s="255"/>
      <c r="C40" s="256"/>
      <c r="D40" s="256"/>
      <c r="E40" s="256"/>
      <c r="F40" s="256"/>
      <c r="G40" s="256"/>
      <c r="H40" s="256"/>
      <c r="I40" s="256"/>
      <c r="J40" s="256"/>
      <c r="K40" s="256"/>
      <c r="L40" s="256"/>
      <c r="M40" s="256"/>
      <c r="N40" s="256"/>
      <c r="O40" s="256"/>
      <c r="P40" s="256"/>
      <c r="Q40" s="256"/>
      <c r="R40" s="256"/>
      <c r="S40" s="256"/>
      <c r="T40" s="256"/>
      <c r="U40" s="256"/>
      <c r="V40" s="255"/>
    </row>
    <row r="41" spans="2:23" ht="15.75" x14ac:dyDescent="0.25">
      <c r="B41" s="572" t="s">
        <v>622</v>
      </c>
      <c r="P41" s="256"/>
      <c r="Q41" s="256"/>
      <c r="R41" s="256"/>
      <c r="S41" s="256" t="s">
        <v>623</v>
      </c>
      <c r="T41" s="256"/>
      <c r="U41" s="256"/>
      <c r="V41" s="255"/>
    </row>
    <row r="42" spans="2:23" ht="13.5" thickBot="1" x14ac:dyDescent="0.25">
      <c r="B42" s="260"/>
    </row>
    <row r="43" spans="2:23" ht="13.5" thickBot="1" x14ac:dyDescent="0.25">
      <c r="C43" s="573" t="s">
        <v>620</v>
      </c>
      <c r="D43" s="574"/>
      <c r="E43" s="574"/>
      <c r="F43" s="574"/>
      <c r="G43" s="574"/>
      <c r="H43" s="574"/>
      <c r="I43" s="575"/>
      <c r="K43" s="576" t="s">
        <v>621</v>
      </c>
      <c r="L43" s="577"/>
      <c r="M43" s="577"/>
      <c r="N43" s="577"/>
      <c r="O43" s="577"/>
      <c r="P43" s="577"/>
      <c r="Q43" s="577"/>
      <c r="R43" s="577"/>
      <c r="S43" s="577"/>
      <c r="T43" s="577"/>
      <c r="U43" s="578"/>
    </row>
    <row r="44" spans="2:23" ht="13.5" thickBot="1" x14ac:dyDescent="0.25">
      <c r="B44" s="261"/>
      <c r="C44" s="585" t="s">
        <v>523</v>
      </c>
      <c r="D44" s="586"/>
      <c r="E44" s="587"/>
      <c r="F44" s="335"/>
      <c r="G44" s="585" t="s">
        <v>524</v>
      </c>
      <c r="H44" s="586"/>
      <c r="I44" s="587"/>
      <c r="J44" s="335"/>
      <c r="K44" s="585" t="s">
        <v>525</v>
      </c>
      <c r="L44" s="586"/>
      <c r="M44" s="587"/>
      <c r="N44" s="335"/>
      <c r="O44" s="585" t="s">
        <v>526</v>
      </c>
      <c r="P44" s="586"/>
      <c r="Q44" s="587"/>
      <c r="R44" s="335"/>
      <c r="S44" s="585" t="s">
        <v>527</v>
      </c>
      <c r="T44" s="586"/>
      <c r="U44" s="587"/>
      <c r="V44" s="255"/>
    </row>
    <row r="45" spans="2:23" x14ac:dyDescent="0.2">
      <c r="B45" s="263"/>
      <c r="C45" s="264" t="s">
        <v>522</v>
      </c>
      <c r="D45" s="265" t="s">
        <v>453</v>
      </c>
      <c r="E45" s="266" t="s">
        <v>536</v>
      </c>
      <c r="F45" s="336"/>
      <c r="G45" s="264" t="s">
        <v>522</v>
      </c>
      <c r="H45" s="265" t="s">
        <v>453</v>
      </c>
      <c r="I45" s="266" t="s">
        <v>536</v>
      </c>
      <c r="J45" s="336"/>
      <c r="K45" s="264" t="s">
        <v>522</v>
      </c>
      <c r="L45" s="265" t="s">
        <v>453</v>
      </c>
      <c r="M45" s="266" t="s">
        <v>536</v>
      </c>
      <c r="N45" s="336"/>
      <c r="O45" s="264" t="s">
        <v>522</v>
      </c>
      <c r="P45" s="265" t="s">
        <v>453</v>
      </c>
      <c r="Q45" s="266" t="s">
        <v>536</v>
      </c>
      <c r="R45" s="336"/>
      <c r="S45" s="264" t="s">
        <v>522</v>
      </c>
      <c r="T45" s="265" t="s">
        <v>453</v>
      </c>
      <c r="U45" s="266" t="s">
        <v>536</v>
      </c>
      <c r="V45" s="255"/>
    </row>
    <row r="46" spans="2:23" x14ac:dyDescent="0.2">
      <c r="B46" s="280" t="s">
        <v>419</v>
      </c>
      <c r="C46" s="272"/>
      <c r="D46" s="273"/>
      <c r="E46" s="274"/>
      <c r="F46" s="337"/>
      <c r="G46" s="272"/>
      <c r="H46" s="273"/>
      <c r="I46" s="274"/>
      <c r="J46" s="337"/>
      <c r="K46" s="272"/>
      <c r="L46" s="273"/>
      <c r="M46" s="274"/>
      <c r="N46" s="337"/>
      <c r="O46" s="272"/>
      <c r="P46" s="338"/>
      <c r="Q46" s="339"/>
      <c r="R46" s="337"/>
      <c r="S46" s="272"/>
      <c r="T46" s="273"/>
      <c r="U46" s="274"/>
      <c r="V46" s="255"/>
    </row>
    <row r="47" spans="2:23" x14ac:dyDescent="0.2">
      <c r="B47" s="263" t="s">
        <v>529</v>
      </c>
      <c r="C47" s="276">
        <v>-335505</v>
      </c>
      <c r="D47" s="340"/>
      <c r="E47" s="313">
        <f>SUM(C47:D47)</f>
        <v>-335505</v>
      </c>
      <c r="F47" s="341"/>
      <c r="G47" s="276">
        <v>-343315.80699999997</v>
      </c>
      <c r="H47" s="340"/>
      <c r="I47" s="313">
        <f>SUM(G47:H47)</f>
        <v>-343315.80699999997</v>
      </c>
      <c r="J47" s="341"/>
      <c r="K47" s="276">
        <v>-349152.17571899999</v>
      </c>
      <c r="L47" s="340"/>
      <c r="M47" s="313">
        <f>SUM(K47:L47)</f>
        <v>-349152.17571899999</v>
      </c>
      <c r="N47" s="341"/>
      <c r="O47" s="276">
        <f>K47+K48</f>
        <v>-356274.88010366762</v>
      </c>
      <c r="P47" s="340"/>
      <c r="Q47" s="313">
        <f>SUM(O47:P47)</f>
        <v>-356274.88010366762</v>
      </c>
      <c r="R47" s="341"/>
      <c r="S47" s="276">
        <f>O47+O48</f>
        <v>-363542.88010366762</v>
      </c>
      <c r="T47" s="340"/>
      <c r="U47" s="313">
        <f>SUM(S47:T47)</f>
        <v>-363542.88010366762</v>
      </c>
      <c r="V47" s="255"/>
    </row>
    <row r="48" spans="2:23" x14ac:dyDescent="0.2">
      <c r="B48" s="263" t="s">
        <v>520</v>
      </c>
      <c r="C48" s="276">
        <v>-7179.8069999999998</v>
      </c>
      <c r="D48" s="340"/>
      <c r="E48" s="313">
        <f t="shared" ref="E48:E53" si="15">SUM(C48:D48)</f>
        <v>-7179.8069999999998</v>
      </c>
      <c r="F48" s="341"/>
      <c r="G48" s="276">
        <v>-5836.3687190000001</v>
      </c>
      <c r="H48" s="340"/>
      <c r="I48" s="313">
        <f t="shared" ref="I48:I53" si="16">SUM(G48:H48)</f>
        <v>-5836.3687190000001</v>
      </c>
      <c r="J48" s="341"/>
      <c r="K48" s="276">
        <v>-7122.7043846676006</v>
      </c>
      <c r="L48" s="340"/>
      <c r="M48" s="313">
        <f t="shared" ref="M48:M53" si="17">SUM(K48:L48)</f>
        <v>-7122.7043846676006</v>
      </c>
      <c r="N48" s="341"/>
      <c r="O48" s="276">
        <v>-7268</v>
      </c>
      <c r="P48" s="340"/>
      <c r="Q48" s="313">
        <f t="shared" ref="Q48:Q53" si="18">SUM(O48:P48)</f>
        <v>-7268</v>
      </c>
      <c r="R48" s="341"/>
      <c r="S48" s="276">
        <v>-7416</v>
      </c>
      <c r="T48" s="340"/>
      <c r="U48" s="313">
        <f t="shared" ref="U48:U53" si="19">SUM(S48:T48)</f>
        <v>-7416</v>
      </c>
    </row>
    <row r="49" spans="2:22" x14ac:dyDescent="0.2">
      <c r="B49" s="280" t="s">
        <v>537</v>
      </c>
      <c r="C49" s="281">
        <v>-342684.80699999997</v>
      </c>
      <c r="D49" s="342"/>
      <c r="E49" s="293">
        <f t="shared" si="15"/>
        <v>-342684.80699999997</v>
      </c>
      <c r="F49" s="343"/>
      <c r="G49" s="281">
        <f>+G47+G48</f>
        <v>-349152.17571899999</v>
      </c>
      <c r="H49" s="342"/>
      <c r="I49" s="293">
        <f t="shared" si="16"/>
        <v>-349152.17571899999</v>
      </c>
      <c r="J49" s="343"/>
      <c r="K49" s="281">
        <f>K47+K48</f>
        <v>-356274.88010366762</v>
      </c>
      <c r="L49" s="342"/>
      <c r="M49" s="293">
        <f t="shared" si="17"/>
        <v>-356274.88010366762</v>
      </c>
      <c r="N49" s="343"/>
      <c r="O49" s="281">
        <f>O47+O48</f>
        <v>-363542.88010366762</v>
      </c>
      <c r="P49" s="342"/>
      <c r="Q49" s="293">
        <f t="shared" si="18"/>
        <v>-363542.88010366762</v>
      </c>
      <c r="R49" s="343"/>
      <c r="S49" s="281">
        <f>S47+S48</f>
        <v>-370958.88010366762</v>
      </c>
      <c r="T49" s="342"/>
      <c r="U49" s="293">
        <f t="shared" si="19"/>
        <v>-370958.88010366762</v>
      </c>
    </row>
    <row r="50" spans="2:22" x14ac:dyDescent="0.2">
      <c r="B50" s="263" t="s">
        <v>381</v>
      </c>
      <c r="C50" s="276">
        <v>-7162</v>
      </c>
      <c r="D50" s="340"/>
      <c r="E50" s="313">
        <f t="shared" si="15"/>
        <v>-7162</v>
      </c>
      <c r="F50" s="341"/>
      <c r="G50" s="276">
        <v>-6424</v>
      </c>
      <c r="H50" s="340"/>
      <c r="I50" s="313">
        <f t="shared" si="16"/>
        <v>-6424</v>
      </c>
      <c r="J50" s="341"/>
      <c r="K50" s="276">
        <v>-6404</v>
      </c>
      <c r="L50" s="340"/>
      <c r="M50" s="313">
        <f t="shared" si="17"/>
        <v>-6404</v>
      </c>
      <c r="N50" s="341"/>
      <c r="O50" s="276">
        <v>-6386</v>
      </c>
      <c r="P50" s="340"/>
      <c r="Q50" s="313">
        <f t="shared" si="18"/>
        <v>-6386</v>
      </c>
      <c r="R50" s="341"/>
      <c r="S50" s="276">
        <v>-6370</v>
      </c>
      <c r="T50" s="340"/>
      <c r="U50" s="313">
        <f t="shared" si="19"/>
        <v>-6370</v>
      </c>
    </row>
    <row r="51" spans="2:22" x14ac:dyDescent="0.2">
      <c r="B51" s="263" t="s">
        <v>619</v>
      </c>
      <c r="C51" s="276">
        <v>-631</v>
      </c>
      <c r="D51" s="340"/>
      <c r="E51" s="313">
        <f t="shared" si="15"/>
        <v>-631</v>
      </c>
      <c r="F51" s="341"/>
      <c r="G51" s="282"/>
      <c r="H51" s="340"/>
      <c r="I51" s="306"/>
      <c r="J51" s="341"/>
      <c r="K51" s="282"/>
      <c r="L51" s="340"/>
      <c r="M51" s="306"/>
      <c r="N51" s="341"/>
      <c r="O51" s="282"/>
      <c r="P51" s="340"/>
      <c r="Q51" s="306"/>
      <c r="R51" s="341"/>
      <c r="S51" s="282"/>
      <c r="T51" s="340"/>
      <c r="U51" s="306"/>
    </row>
    <row r="52" spans="2:22" x14ac:dyDescent="0.2">
      <c r="B52" s="263" t="s">
        <v>545</v>
      </c>
      <c r="C52" s="282"/>
      <c r="D52" s="340"/>
      <c r="E52" s="306"/>
      <c r="F52" s="341"/>
      <c r="G52" s="276">
        <v>-5881</v>
      </c>
      <c r="H52" s="340"/>
      <c r="I52" s="313">
        <f t="shared" si="16"/>
        <v>-5881</v>
      </c>
      <c r="J52" s="341"/>
      <c r="K52" s="276">
        <v>-5986.8580000000002</v>
      </c>
      <c r="L52" s="340"/>
      <c r="M52" s="313">
        <f t="shared" si="17"/>
        <v>-5986.8580000000002</v>
      </c>
      <c r="N52" s="341"/>
      <c r="O52" s="276">
        <v>-6089</v>
      </c>
      <c r="P52" s="340"/>
      <c r="Q52" s="313">
        <f t="shared" si="18"/>
        <v>-6089</v>
      </c>
      <c r="R52" s="341"/>
      <c r="S52" s="276">
        <v>-6192</v>
      </c>
      <c r="T52" s="340"/>
      <c r="U52" s="313">
        <f t="shared" si="19"/>
        <v>-6192</v>
      </c>
    </row>
    <row r="53" spans="2:22" x14ac:dyDescent="0.2">
      <c r="B53" s="263" t="s">
        <v>559</v>
      </c>
      <c r="C53" s="282"/>
      <c r="D53" s="312">
        <v>-4780</v>
      </c>
      <c r="E53" s="344">
        <f t="shared" si="15"/>
        <v>-4780</v>
      </c>
      <c r="F53" s="341"/>
      <c r="G53" s="282"/>
      <c r="H53" s="312">
        <f>E74</f>
        <v>-4779.8069999999716</v>
      </c>
      <c r="I53" s="344">
        <f t="shared" si="16"/>
        <v>-4779.8069999999716</v>
      </c>
      <c r="J53" s="398"/>
      <c r="K53" s="282"/>
      <c r="L53" s="312">
        <f>I74</f>
        <v>-3662.1665925276175</v>
      </c>
      <c r="M53" s="344">
        <f t="shared" si="17"/>
        <v>-3662.1665925276175</v>
      </c>
      <c r="N53" s="341"/>
      <c r="O53" s="282"/>
      <c r="P53" s="312">
        <f>M74</f>
        <v>-3722.4276902587735</v>
      </c>
      <c r="Q53" s="344">
        <f t="shared" si="18"/>
        <v>-3722.4276902587735</v>
      </c>
      <c r="R53" s="341"/>
      <c r="S53" s="282"/>
      <c r="T53" s="312">
        <f>Q74</f>
        <v>-3796.3077939263894</v>
      </c>
      <c r="U53" s="344">
        <f t="shared" si="19"/>
        <v>-3796.3077939263894</v>
      </c>
    </row>
    <row r="54" spans="2:22" x14ac:dyDescent="0.2">
      <c r="B54" s="394" t="s">
        <v>560</v>
      </c>
      <c r="C54" s="311">
        <f>SUM(C49:C53)</f>
        <v>-350477.80699999997</v>
      </c>
      <c r="D54" s="309">
        <f>SUM(D49:D53)</f>
        <v>-4780</v>
      </c>
      <c r="E54" s="395">
        <f>SUM(E49:E53)</f>
        <v>-355257.80699999997</v>
      </c>
      <c r="F54" s="396"/>
      <c r="G54" s="311">
        <f>SUM(G49:G53)</f>
        <v>-361457.17571899999</v>
      </c>
      <c r="H54" s="309">
        <f>SUM(H49:H53)</f>
        <v>-4779.8069999999716</v>
      </c>
      <c r="I54" s="395">
        <f>SUM(I49:I53)</f>
        <v>-366236.98271899996</v>
      </c>
      <c r="J54" s="396"/>
      <c r="K54" s="311">
        <f>SUM(K49:K53)</f>
        <v>-368665.73810366762</v>
      </c>
      <c r="L54" s="309">
        <f>SUM(L49:L53)</f>
        <v>-3662.1665925276175</v>
      </c>
      <c r="M54" s="395">
        <f>SUM(M49:M53)</f>
        <v>-372327.90469619527</v>
      </c>
      <c r="N54" s="396"/>
      <c r="O54" s="311">
        <f>SUM(O49:O53)</f>
        <v>-376017.88010366762</v>
      </c>
      <c r="P54" s="309">
        <f>SUM(P49:P53)</f>
        <v>-3722.4276902587735</v>
      </c>
      <c r="Q54" s="395">
        <f>SUM(Q49:Q53)</f>
        <v>-379740.30779392639</v>
      </c>
      <c r="R54" s="396"/>
      <c r="S54" s="311">
        <f>SUM(S49:S53)</f>
        <v>-383520.88010366762</v>
      </c>
      <c r="T54" s="309">
        <f>SUM(T49:T53)</f>
        <v>-3796.3077939263894</v>
      </c>
      <c r="U54" s="395">
        <f>SUM(U49:U53)</f>
        <v>-387317.18789759401</v>
      </c>
    </row>
    <row r="55" spans="2:22" ht="6.75" customHeight="1" x14ac:dyDescent="0.2">
      <c r="B55" s="291"/>
      <c r="C55" s="281"/>
      <c r="D55" s="292"/>
      <c r="E55" s="293"/>
      <c r="F55" s="396"/>
      <c r="G55" s="281"/>
      <c r="H55" s="292"/>
      <c r="I55" s="293"/>
      <c r="J55" s="396"/>
      <c r="K55" s="281"/>
      <c r="L55" s="292"/>
      <c r="M55" s="293"/>
      <c r="N55" s="396"/>
      <c r="O55" s="281"/>
      <c r="P55" s="292"/>
      <c r="Q55" s="293"/>
      <c r="R55" s="396"/>
      <c r="S55" s="281"/>
      <c r="T55" s="292"/>
      <c r="U55" s="293"/>
    </row>
    <row r="56" spans="2:22" x14ac:dyDescent="0.2">
      <c r="B56" s="280" t="s">
        <v>422</v>
      </c>
      <c r="C56" s="297"/>
      <c r="D56" s="298"/>
      <c r="E56" s="299"/>
      <c r="F56" s="397"/>
      <c r="G56" s="276"/>
      <c r="H56" s="312"/>
      <c r="I56" s="299"/>
      <c r="J56" s="398"/>
      <c r="K56" s="276"/>
      <c r="L56" s="312"/>
      <c r="M56" s="299"/>
      <c r="N56" s="398"/>
      <c r="O56" s="276"/>
      <c r="P56" s="312"/>
      <c r="Q56" s="299"/>
      <c r="R56" s="398"/>
      <c r="S56" s="276"/>
      <c r="T56" s="312"/>
      <c r="U56" s="299"/>
    </row>
    <row r="57" spans="2:22" x14ac:dyDescent="0.2">
      <c r="B57" s="263" t="s">
        <v>528</v>
      </c>
      <c r="C57" s="276">
        <v>335276</v>
      </c>
      <c r="D57" s="345"/>
      <c r="E57" s="313">
        <f>SUM(C57:D57)</f>
        <v>335276</v>
      </c>
      <c r="F57" s="398"/>
      <c r="G57" s="276">
        <v>337064.73446773377</v>
      </c>
      <c r="H57" s="277"/>
      <c r="I57" s="313">
        <f>SUM(G57:H57)</f>
        <v>337064.73446773377</v>
      </c>
      <c r="J57" s="398"/>
      <c r="K57" s="276">
        <v>349374.95928710874</v>
      </c>
      <c r="L57" s="277"/>
      <c r="M57" s="313">
        <f>SUM(K57:L57)</f>
        <v>349374.95928710874</v>
      </c>
      <c r="N57" s="398"/>
      <c r="O57" s="276">
        <v>356372</v>
      </c>
      <c r="P57" s="277"/>
      <c r="Q57" s="313">
        <f>SUM(O57:P57)</f>
        <v>356372</v>
      </c>
      <c r="R57" s="398"/>
      <c r="S57" s="276">
        <v>363465</v>
      </c>
      <c r="T57" s="277"/>
      <c r="U57" s="313">
        <f>SUM(S57:T57)</f>
        <v>363465</v>
      </c>
      <c r="V57" s="303"/>
    </row>
    <row r="58" spans="2:22" x14ac:dyDescent="0.2">
      <c r="B58" s="263" t="s">
        <v>618</v>
      </c>
      <c r="C58" s="282"/>
      <c r="D58" s="345"/>
      <c r="E58" s="306"/>
      <c r="F58" s="398"/>
      <c r="G58" s="276">
        <v>-412</v>
      </c>
      <c r="H58" s="277"/>
      <c r="I58" s="313">
        <f>SUM(G58:H58)</f>
        <v>-412</v>
      </c>
      <c r="J58" s="398"/>
      <c r="K58" s="282"/>
      <c r="L58" s="277"/>
      <c r="M58" s="306"/>
      <c r="N58" s="398"/>
      <c r="O58" s="282"/>
      <c r="P58" s="277"/>
      <c r="Q58" s="306"/>
      <c r="R58" s="398"/>
      <c r="S58" s="282"/>
      <c r="T58" s="277"/>
      <c r="U58" s="306"/>
      <c r="V58" s="303"/>
    </row>
    <row r="59" spans="2:22" x14ac:dyDescent="0.2">
      <c r="B59" s="263" t="s">
        <v>625</v>
      </c>
      <c r="C59" s="276">
        <v>4379</v>
      </c>
      <c r="D59" s="483">
        <v>0</v>
      </c>
      <c r="E59" s="313">
        <f>SUM(C59:D59)</f>
        <v>4379</v>
      </c>
      <c r="F59" s="398"/>
      <c r="G59" s="486">
        <v>2216</v>
      </c>
      <c r="H59" s="483"/>
      <c r="I59" s="313">
        <f>SUM(G59:H59)</f>
        <v>2216</v>
      </c>
      <c r="J59" s="398"/>
      <c r="K59" s="282"/>
      <c r="L59" s="277"/>
      <c r="M59" s="306"/>
      <c r="N59" s="398"/>
      <c r="O59" s="282"/>
      <c r="P59" s="277"/>
      <c r="Q59" s="306"/>
      <c r="R59" s="398"/>
      <c r="S59" s="282"/>
      <c r="T59" s="277"/>
      <c r="U59" s="306"/>
      <c r="V59" s="303"/>
    </row>
    <row r="60" spans="2:22" x14ac:dyDescent="0.2">
      <c r="B60" s="263" t="s">
        <v>548</v>
      </c>
      <c r="C60" s="276">
        <v>4651</v>
      </c>
      <c r="D60" s="345"/>
      <c r="E60" s="313">
        <f t="shared" ref="E60:E69" si="20">SUM(C60:D60)</f>
        <v>4651</v>
      </c>
      <c r="F60" s="398"/>
      <c r="G60" s="276">
        <v>4853.0737485520958</v>
      </c>
      <c r="H60" s="277"/>
      <c r="I60" s="313">
        <f t="shared" ref="I60:I68" si="21">SUM(G60:H60)</f>
        <v>4853.0737485520958</v>
      </c>
      <c r="J60" s="398"/>
      <c r="K60" s="276">
        <v>4920.4365142660017</v>
      </c>
      <c r="L60" s="277"/>
      <c r="M60" s="313">
        <f t="shared" ref="M60:M68" si="22">SUM(K60:L60)</f>
        <v>4920.4365142660017</v>
      </c>
      <c r="N60" s="398"/>
      <c r="O60" s="276">
        <v>5032</v>
      </c>
      <c r="P60" s="277"/>
      <c r="Q60" s="313">
        <f t="shared" ref="Q60:Q68" si="23">SUM(O60:P60)</f>
        <v>5032</v>
      </c>
      <c r="R60" s="398"/>
      <c r="S60" s="276">
        <v>5101</v>
      </c>
      <c r="T60" s="277"/>
      <c r="U60" s="313">
        <f t="shared" ref="U60:U68" si="24">SUM(S60:T60)</f>
        <v>5101</v>
      </c>
      <c r="V60" s="303"/>
    </row>
    <row r="61" spans="2:22" s="260" customFormat="1" x14ac:dyDescent="0.2">
      <c r="B61" s="280" t="s">
        <v>617</v>
      </c>
      <c r="C61" s="393">
        <f>SUM(C57:C60)</f>
        <v>344306</v>
      </c>
      <c r="D61" s="376"/>
      <c r="E61" s="293">
        <f>E57+E60+E59</f>
        <v>344306</v>
      </c>
      <c r="F61" s="396"/>
      <c r="G61" s="393">
        <f>SUM(G57:G60)</f>
        <v>343721.80821628589</v>
      </c>
      <c r="H61" s="376"/>
      <c r="I61" s="293">
        <f>SUM(I57:I60)</f>
        <v>343721.80821628589</v>
      </c>
      <c r="J61" s="396"/>
      <c r="K61" s="281">
        <f>K60+K57</f>
        <v>354295.39580137475</v>
      </c>
      <c r="L61" s="376"/>
      <c r="M61" s="293">
        <f>M57+M60</f>
        <v>354295.39580137475</v>
      </c>
      <c r="N61" s="396"/>
      <c r="O61" s="281">
        <f>O60+O57</f>
        <v>361404</v>
      </c>
      <c r="P61" s="376"/>
      <c r="Q61" s="293">
        <f>Q57+Q60</f>
        <v>361404</v>
      </c>
      <c r="R61" s="396"/>
      <c r="S61" s="281">
        <f>S60+S57</f>
        <v>368566</v>
      </c>
      <c r="T61" s="376"/>
      <c r="U61" s="293">
        <f>U57+U60</f>
        <v>368566</v>
      </c>
      <c r="V61" s="327"/>
    </row>
    <row r="62" spans="2:22" x14ac:dyDescent="0.2">
      <c r="B62" s="263" t="s">
        <v>663</v>
      </c>
      <c r="C62" s="276">
        <v>-1505</v>
      </c>
      <c r="D62" s="345"/>
      <c r="E62" s="313">
        <f t="shared" si="20"/>
        <v>-1505</v>
      </c>
      <c r="F62" s="398"/>
      <c r="G62" s="276">
        <v>-2309</v>
      </c>
      <c r="H62" s="277"/>
      <c r="I62" s="313">
        <f t="shared" si="21"/>
        <v>-2309</v>
      </c>
      <c r="J62" s="398"/>
      <c r="K62" s="276">
        <v>2094</v>
      </c>
      <c r="L62" s="277"/>
      <c r="M62" s="313">
        <f t="shared" si="22"/>
        <v>2094</v>
      </c>
      <c r="N62" s="398"/>
      <c r="O62" s="276">
        <v>-19</v>
      </c>
      <c r="P62" s="277"/>
      <c r="Q62" s="313">
        <f t="shared" si="23"/>
        <v>-19</v>
      </c>
      <c r="R62" s="398"/>
      <c r="S62" s="276">
        <v>291</v>
      </c>
      <c r="T62" s="277"/>
      <c r="U62" s="313">
        <f t="shared" si="24"/>
        <v>291</v>
      </c>
      <c r="V62" s="303"/>
    </row>
    <row r="63" spans="2:22" x14ac:dyDescent="0.2">
      <c r="B63" s="263" t="s">
        <v>281</v>
      </c>
      <c r="C63" s="276">
        <v>6743</v>
      </c>
      <c r="D63" s="345"/>
      <c r="E63" s="313">
        <f t="shared" si="20"/>
        <v>6743</v>
      </c>
      <c r="F63" s="398"/>
      <c r="G63" s="276">
        <v>6987.5953958064911</v>
      </c>
      <c r="H63" s="277"/>
      <c r="I63" s="313">
        <f t="shared" si="21"/>
        <v>6987.5953958064911</v>
      </c>
      <c r="J63" s="398"/>
      <c r="K63" s="276">
        <v>7129.081204561744</v>
      </c>
      <c r="L63" s="277"/>
      <c r="M63" s="313">
        <f t="shared" si="22"/>
        <v>7129.081204561744</v>
      </c>
      <c r="N63" s="398"/>
      <c r="O63" s="276">
        <v>7338</v>
      </c>
      <c r="P63" s="277"/>
      <c r="Q63" s="313">
        <f t="shared" si="23"/>
        <v>7338</v>
      </c>
      <c r="R63" s="398"/>
      <c r="S63" s="276">
        <v>7505</v>
      </c>
      <c r="T63" s="277"/>
      <c r="U63" s="313">
        <f t="shared" si="24"/>
        <v>7505</v>
      </c>
      <c r="V63" s="303"/>
    </row>
    <row r="64" spans="2:22" x14ac:dyDescent="0.2">
      <c r="B64" s="263" t="s">
        <v>551</v>
      </c>
      <c r="C64" s="276">
        <v>1610</v>
      </c>
      <c r="D64" s="345"/>
      <c r="E64" s="313">
        <f>SUM(C64:D64)</f>
        <v>1610</v>
      </c>
      <c r="F64" s="398"/>
      <c r="G64" s="276">
        <f>5731-2216</f>
        <v>3515</v>
      </c>
      <c r="H64" s="277"/>
      <c r="I64" s="313">
        <f>SUM(G64:H64)</f>
        <v>3515</v>
      </c>
      <c r="J64" s="398"/>
      <c r="K64" s="276">
        <v>3000</v>
      </c>
      <c r="L64" s="277"/>
      <c r="M64" s="313">
        <f>SUM(K64:L64)</f>
        <v>3000</v>
      </c>
      <c r="N64" s="398"/>
      <c r="O64" s="276">
        <v>3000</v>
      </c>
      <c r="P64" s="277"/>
      <c r="Q64" s="313">
        <f>SUM(O64:P64)</f>
        <v>3000</v>
      </c>
      <c r="R64" s="398"/>
      <c r="S64" s="276">
        <v>3000</v>
      </c>
      <c r="T64" s="277"/>
      <c r="U64" s="313">
        <f>SUM(S64:T64)</f>
        <v>3000</v>
      </c>
      <c r="V64" s="255"/>
    </row>
    <row r="65" spans="2:22" x14ac:dyDescent="0.2">
      <c r="B65" s="263" t="s">
        <v>616</v>
      </c>
      <c r="C65" s="304"/>
      <c r="D65" s="346"/>
      <c r="E65" s="306"/>
      <c r="F65" s="397"/>
      <c r="G65" s="276">
        <v>18404</v>
      </c>
      <c r="H65" s="277"/>
      <c r="I65" s="313">
        <f>SUM(G65:H65)</f>
        <v>18404</v>
      </c>
      <c r="J65" s="397"/>
      <c r="K65" s="304"/>
      <c r="L65" s="305"/>
      <c r="M65" s="306"/>
      <c r="N65" s="397"/>
      <c r="O65" s="304"/>
      <c r="P65" s="305"/>
      <c r="Q65" s="306"/>
      <c r="R65" s="397"/>
      <c r="S65" s="304"/>
      <c r="T65" s="305"/>
      <c r="U65" s="306"/>
      <c r="V65" s="255"/>
    </row>
    <row r="66" spans="2:22" x14ac:dyDescent="0.2">
      <c r="B66" s="263" t="s">
        <v>550</v>
      </c>
      <c r="C66" s="304"/>
      <c r="D66" s="346"/>
      <c r="E66" s="306"/>
      <c r="F66" s="397"/>
      <c r="G66" s="276">
        <v>-5389</v>
      </c>
      <c r="H66" s="277"/>
      <c r="I66" s="313">
        <f t="shared" si="21"/>
        <v>-5389</v>
      </c>
      <c r="J66" s="397"/>
      <c r="K66" s="304"/>
      <c r="L66" s="305"/>
      <c r="M66" s="306"/>
      <c r="N66" s="397"/>
      <c r="O66" s="304"/>
      <c r="P66" s="305"/>
      <c r="Q66" s="306"/>
      <c r="R66" s="397"/>
      <c r="S66" s="304"/>
      <c r="T66" s="305"/>
      <c r="U66" s="306"/>
      <c r="V66" s="255"/>
    </row>
    <row r="67" spans="2:22" x14ac:dyDescent="0.2">
      <c r="B67" s="263" t="s">
        <v>549</v>
      </c>
      <c r="C67" s="414"/>
      <c r="D67" s="301">
        <v>2235</v>
      </c>
      <c r="E67" s="313">
        <f>SUM(C67:D67)</f>
        <v>2235</v>
      </c>
      <c r="F67" s="398"/>
      <c r="G67" s="414"/>
      <c r="H67" s="301">
        <v>3614.57175719</v>
      </c>
      <c r="I67" s="313">
        <f>SUM(G67:H67)</f>
        <v>3614.57175719</v>
      </c>
      <c r="J67" s="398"/>
      <c r="K67" s="414"/>
      <c r="L67" s="301">
        <v>3627</v>
      </c>
      <c r="M67" s="313">
        <f>SUM(K67:L67)</f>
        <v>3627</v>
      </c>
      <c r="N67" s="398"/>
      <c r="O67" s="414"/>
      <c r="P67" s="301">
        <v>3699</v>
      </c>
      <c r="Q67" s="313">
        <f>SUM(O67:P67)</f>
        <v>3699</v>
      </c>
      <c r="R67" s="398"/>
      <c r="S67" s="414"/>
      <c r="T67" s="301">
        <v>3773</v>
      </c>
      <c r="U67" s="313">
        <f>SUM(S67:T67)</f>
        <v>3773</v>
      </c>
      <c r="V67" s="303"/>
    </row>
    <row r="68" spans="2:22" x14ac:dyDescent="0.2">
      <c r="B68" s="263" t="s">
        <v>538</v>
      </c>
      <c r="C68" s="347"/>
      <c r="D68" s="301">
        <v>5370</v>
      </c>
      <c r="E68" s="313">
        <f t="shared" si="20"/>
        <v>5370</v>
      </c>
      <c r="F68" s="398"/>
      <c r="G68" s="304"/>
      <c r="H68" s="301">
        <v>3614.57175719</v>
      </c>
      <c r="I68" s="313">
        <f t="shared" si="21"/>
        <v>3614.57175719</v>
      </c>
      <c r="J68" s="398"/>
      <c r="K68" s="304"/>
      <c r="L68" s="301">
        <v>3627</v>
      </c>
      <c r="M68" s="313">
        <f t="shared" si="22"/>
        <v>3627</v>
      </c>
      <c r="N68" s="398"/>
      <c r="O68" s="304"/>
      <c r="P68" s="301">
        <v>3699</v>
      </c>
      <c r="Q68" s="313">
        <f t="shared" si="23"/>
        <v>3699</v>
      </c>
      <c r="R68" s="398"/>
      <c r="S68" s="304"/>
      <c r="T68" s="301">
        <v>3773</v>
      </c>
      <c r="U68" s="313">
        <f t="shared" si="24"/>
        <v>3773</v>
      </c>
      <c r="V68" s="255"/>
    </row>
    <row r="69" spans="2:22" x14ac:dyDescent="0.2">
      <c r="B69" s="263" t="s">
        <v>539</v>
      </c>
      <c r="C69" s="304"/>
      <c r="D69" s="301">
        <v>3505</v>
      </c>
      <c r="E69" s="313">
        <f t="shared" si="20"/>
        <v>3505</v>
      </c>
      <c r="F69" s="398"/>
      <c r="G69" s="304"/>
      <c r="H69" s="305"/>
      <c r="I69" s="306"/>
      <c r="J69" s="398"/>
      <c r="K69" s="304"/>
      <c r="L69" s="305"/>
      <c r="M69" s="306"/>
      <c r="N69" s="398"/>
      <c r="O69" s="304"/>
      <c r="P69" s="305"/>
      <c r="Q69" s="306"/>
      <c r="R69" s="398"/>
      <c r="S69" s="304"/>
      <c r="T69" s="305"/>
      <c r="U69" s="306"/>
      <c r="V69" s="255"/>
    </row>
    <row r="70" spans="2:22" x14ac:dyDescent="0.2">
      <c r="B70" s="348" t="s">
        <v>540</v>
      </c>
      <c r="C70" s="349">
        <f>SUM(C61:C69)</f>
        <v>351154</v>
      </c>
      <c r="D70" s="350">
        <f>SUM(D57:D69)</f>
        <v>11110</v>
      </c>
      <c r="E70" s="351">
        <f>SUM(C70:D70)</f>
        <v>362264</v>
      </c>
      <c r="F70" s="396"/>
      <c r="G70" s="349">
        <f>SUM(G61:G69)</f>
        <v>364930.40361209237</v>
      </c>
      <c r="H70" s="350">
        <f>SUM(H57:H69)</f>
        <v>7229.1435143799999</v>
      </c>
      <c r="I70" s="351">
        <f>SUM(G70:H70)</f>
        <v>372159.54712647235</v>
      </c>
      <c r="J70" s="396"/>
      <c r="K70" s="349">
        <f>SUM(K61:K69)</f>
        <v>366518.4770059365</v>
      </c>
      <c r="L70" s="350">
        <f>SUM(L57:L69)</f>
        <v>7254</v>
      </c>
      <c r="M70" s="351">
        <f>SUM(K70:L70)</f>
        <v>373772.4770059365</v>
      </c>
      <c r="N70" s="396"/>
      <c r="O70" s="349">
        <f>SUM(O61:O69)</f>
        <v>371723</v>
      </c>
      <c r="P70" s="350">
        <f>SUM(P57:P69)</f>
        <v>7398</v>
      </c>
      <c r="Q70" s="351">
        <f>SUM(O70:P70)</f>
        <v>379121</v>
      </c>
      <c r="R70" s="396"/>
      <c r="S70" s="349">
        <f>SUM(S61:S69)</f>
        <v>379362</v>
      </c>
      <c r="T70" s="350">
        <f>SUM(T57:T69)</f>
        <v>7546</v>
      </c>
      <c r="U70" s="351">
        <f>SUM(S70:T70)</f>
        <v>386908</v>
      </c>
    </row>
    <row r="71" spans="2:22" ht="6.75" customHeight="1" x14ac:dyDescent="0.2">
      <c r="B71" s="263"/>
      <c r="C71" s="276"/>
      <c r="D71" s="312"/>
      <c r="E71" s="313"/>
      <c r="F71" s="396"/>
      <c r="G71" s="281"/>
      <c r="H71" s="294"/>
      <c r="I71" s="295"/>
      <c r="J71" s="396"/>
      <c r="K71" s="281"/>
      <c r="L71" s="294"/>
      <c r="M71" s="295"/>
      <c r="N71" s="396"/>
      <c r="O71" s="281"/>
      <c r="P71" s="294"/>
      <c r="Q71" s="295"/>
      <c r="R71" s="396"/>
      <c r="S71" s="281"/>
      <c r="T71" s="294"/>
      <c r="U71" s="295"/>
    </row>
    <row r="72" spans="2:22" x14ac:dyDescent="0.2">
      <c r="B72" s="263" t="s">
        <v>552</v>
      </c>
      <c r="C72" s="276">
        <v>-9438</v>
      </c>
      <c r="D72" s="312">
        <v>-2348</v>
      </c>
      <c r="E72" s="313">
        <f t="shared" ref="E72" si="25">SUM(C72:D72)</f>
        <v>-11786</v>
      </c>
      <c r="F72" s="398"/>
      <c r="G72" s="276">
        <v>-10701.731</v>
      </c>
      <c r="H72" s="283">
        <v>1117</v>
      </c>
      <c r="I72" s="302">
        <f>SUM(G72:H72)</f>
        <v>-9584.7309999999998</v>
      </c>
      <c r="J72" s="398"/>
      <c r="K72" s="276">
        <v>-5226</v>
      </c>
      <c r="L72" s="283">
        <v>59</v>
      </c>
      <c r="M72" s="302">
        <f>SUM(K72:L72)</f>
        <v>-5167</v>
      </c>
      <c r="N72" s="398"/>
      <c r="O72" s="276">
        <v>-3225</v>
      </c>
      <c r="P72" s="283">
        <v>48</v>
      </c>
      <c r="Q72" s="302">
        <f>SUM(O72:P72)</f>
        <v>-3177</v>
      </c>
      <c r="R72" s="398"/>
      <c r="S72" s="276">
        <v>-3511</v>
      </c>
      <c r="T72" s="283">
        <v>48</v>
      </c>
      <c r="U72" s="302">
        <f>SUM(S72:T72)</f>
        <v>-3463</v>
      </c>
    </row>
    <row r="73" spans="2:22" x14ac:dyDescent="0.2">
      <c r="B73" s="401" t="s">
        <v>561</v>
      </c>
      <c r="C73" s="402">
        <f>SUM(C70:C72)</f>
        <v>341716</v>
      </c>
      <c r="D73" s="403">
        <f t="shared" ref="D73:E73" si="26">SUM(D70:D72)</f>
        <v>8762</v>
      </c>
      <c r="E73" s="404">
        <f t="shared" si="26"/>
        <v>350478</v>
      </c>
      <c r="F73" s="398"/>
      <c r="G73" s="402">
        <f>SUM(G70:G72)</f>
        <v>354228.67261209234</v>
      </c>
      <c r="H73" s="403">
        <f t="shared" ref="H73:I73" si="27">SUM(H70:H72)</f>
        <v>8346.1435143800009</v>
      </c>
      <c r="I73" s="404">
        <f t="shared" si="27"/>
        <v>362574.81612647232</v>
      </c>
      <c r="J73" s="398"/>
      <c r="K73" s="402">
        <f>SUM(K70:K72)</f>
        <v>361292.4770059365</v>
      </c>
      <c r="L73" s="403">
        <f t="shared" ref="L73:M73" si="28">SUM(L70:L72)</f>
        <v>7313</v>
      </c>
      <c r="M73" s="404">
        <f t="shared" si="28"/>
        <v>368605.4770059365</v>
      </c>
      <c r="N73" s="398"/>
      <c r="O73" s="402">
        <f>SUM(O70:O72)</f>
        <v>368498</v>
      </c>
      <c r="P73" s="403">
        <f t="shared" ref="P73:Q73" si="29">SUM(P70:P72)</f>
        <v>7446</v>
      </c>
      <c r="Q73" s="404">
        <f t="shared" si="29"/>
        <v>375944</v>
      </c>
      <c r="R73" s="398"/>
      <c r="S73" s="402">
        <f>SUM(S70:S72)</f>
        <v>375851</v>
      </c>
      <c r="T73" s="403">
        <f t="shared" ref="T73:U73" si="30">SUM(T70:T72)</f>
        <v>7594</v>
      </c>
      <c r="U73" s="404">
        <f t="shared" si="30"/>
        <v>383445</v>
      </c>
    </row>
    <row r="74" spans="2:22" x14ac:dyDescent="0.2">
      <c r="B74" s="405" t="s">
        <v>554</v>
      </c>
      <c r="C74" s="406">
        <f>+C54+C70+C72</f>
        <v>-8761.8069999999716</v>
      </c>
      <c r="D74" s="407">
        <f>+D54+D70+D72</f>
        <v>3982</v>
      </c>
      <c r="E74" s="408">
        <f>+E54+E70+E72</f>
        <v>-4779.8069999999716</v>
      </c>
      <c r="F74" s="396"/>
      <c r="G74" s="406">
        <f>+G54+G70+G72</f>
        <v>-7228.5031069076213</v>
      </c>
      <c r="H74" s="407">
        <f>+H54+H70+H72</f>
        <v>3566.3365143800283</v>
      </c>
      <c r="I74" s="408">
        <f>+I54+I70+I72</f>
        <v>-3662.1665925276175</v>
      </c>
      <c r="J74" s="396"/>
      <c r="K74" s="406">
        <f>+K54+K70+K72</f>
        <v>-7373.2610977311269</v>
      </c>
      <c r="L74" s="407">
        <f>+L54+L70+L72</f>
        <v>3650.8334074723825</v>
      </c>
      <c r="M74" s="408">
        <f>+M54+M70+M72</f>
        <v>-3722.4276902587735</v>
      </c>
      <c r="N74" s="396"/>
      <c r="O74" s="406">
        <f>+O54+O70+O72</f>
        <v>-7519.8801036676159</v>
      </c>
      <c r="P74" s="407">
        <f>+P54+P70+P72</f>
        <v>3723.5723097412265</v>
      </c>
      <c r="Q74" s="408">
        <f>+Q54+Q70+Q72</f>
        <v>-3796.3077939263894</v>
      </c>
      <c r="R74" s="396"/>
      <c r="S74" s="406">
        <f>+S54+S70+S72</f>
        <v>-7669.8801036676159</v>
      </c>
      <c r="T74" s="407">
        <f>+T54+T70+T72</f>
        <v>3797.6922060736106</v>
      </c>
      <c r="U74" s="408">
        <f>+U54+U70+U72</f>
        <v>-3872.1878975940053</v>
      </c>
      <c r="V74" s="255"/>
    </row>
    <row r="75" spans="2:22" ht="6.75" customHeight="1" x14ac:dyDescent="0.2">
      <c r="B75" s="291"/>
      <c r="C75" s="272"/>
      <c r="D75" s="273"/>
      <c r="E75" s="274"/>
      <c r="F75" s="343"/>
      <c r="G75" s="281"/>
      <c r="H75" s="292"/>
      <c r="I75" s="274"/>
      <c r="J75" s="343"/>
      <c r="K75" s="281"/>
      <c r="L75" s="292"/>
      <c r="M75" s="274"/>
      <c r="N75" s="343"/>
      <c r="O75" s="281"/>
      <c r="P75" s="292"/>
      <c r="Q75" s="274"/>
      <c r="R75" s="343"/>
      <c r="S75" s="281"/>
      <c r="T75" s="292"/>
      <c r="U75" s="274"/>
      <c r="V75" s="255"/>
    </row>
    <row r="76" spans="2:22" x14ac:dyDescent="0.2">
      <c r="B76" s="291" t="s">
        <v>555</v>
      </c>
      <c r="C76" s="272"/>
      <c r="D76" s="273"/>
      <c r="E76" s="274"/>
      <c r="F76" s="337"/>
      <c r="G76" s="281"/>
      <c r="H76" s="273"/>
      <c r="I76" s="274"/>
      <c r="J76" s="343"/>
      <c r="K76" s="281"/>
      <c r="L76" s="273"/>
      <c r="M76" s="274"/>
      <c r="N76" s="343"/>
      <c r="O76" s="281"/>
      <c r="P76" s="273"/>
      <c r="Q76" s="274"/>
      <c r="R76" s="343"/>
      <c r="S76" s="281"/>
      <c r="T76" s="273"/>
      <c r="U76" s="274"/>
    </row>
    <row r="77" spans="2:22" x14ac:dyDescent="0.2">
      <c r="B77" s="263" t="s">
        <v>530</v>
      </c>
      <c r="C77" s="276">
        <f>+C54*0.025</f>
        <v>-8761.9451749999989</v>
      </c>
      <c r="D77" s="277"/>
      <c r="E77" s="306"/>
      <c r="F77" s="341"/>
      <c r="G77" s="276">
        <f>(+G49+G52+G50)*0.02</f>
        <v>-7229.1435143799999</v>
      </c>
      <c r="H77" s="277"/>
      <c r="I77" s="306"/>
      <c r="J77" s="341"/>
      <c r="K77" s="276">
        <f>+K54*0.02</f>
        <v>-7373.3147620733525</v>
      </c>
      <c r="L77" s="277"/>
      <c r="M77" s="306"/>
      <c r="N77" s="341"/>
      <c r="O77" s="276">
        <f>+O54*0.02</f>
        <v>-7520.3576020733526</v>
      </c>
      <c r="P77" s="277"/>
      <c r="Q77" s="306"/>
      <c r="R77" s="341"/>
      <c r="S77" s="276">
        <f>+S54*0.02</f>
        <v>-7670.4176020733521</v>
      </c>
      <c r="T77" s="277"/>
      <c r="U77" s="306"/>
    </row>
    <row r="78" spans="2:22" x14ac:dyDescent="0.2">
      <c r="B78" s="291" t="s">
        <v>624</v>
      </c>
      <c r="C78" s="281">
        <f>C74-C77</f>
        <v>0.13817500002733141</v>
      </c>
      <c r="D78" s="258"/>
      <c r="E78" s="325"/>
      <c r="F78" s="343"/>
      <c r="G78" s="281">
        <f t="shared" ref="G78" si="31">G74-G77</f>
        <v>0.64040747237868345</v>
      </c>
      <c r="H78" s="258"/>
      <c r="I78" s="325"/>
      <c r="J78" s="343"/>
      <c r="K78" s="281">
        <f t="shared" ref="K78" si="32">K74-K77</f>
        <v>5.3664342225602013E-2</v>
      </c>
      <c r="L78" s="258"/>
      <c r="M78" s="325"/>
      <c r="N78" s="343"/>
      <c r="O78" s="281">
        <f t="shared" ref="O78" si="33">O74-O77</f>
        <v>0.47749840573669644</v>
      </c>
      <c r="P78" s="258"/>
      <c r="Q78" s="325"/>
      <c r="R78" s="343"/>
      <c r="S78" s="281">
        <f t="shared" ref="S78" si="34">S74-S77</f>
        <v>0.53749840573618712</v>
      </c>
      <c r="T78" s="258"/>
      <c r="U78" s="325"/>
      <c r="V78" s="326">
        <f>SUM(C78:S78)</f>
        <v>1.8472436261045004</v>
      </c>
    </row>
    <row r="79" spans="2:22" x14ac:dyDescent="0.2">
      <c r="B79" s="328" t="s">
        <v>531</v>
      </c>
      <c r="C79" s="329"/>
      <c r="D79" s="258"/>
      <c r="E79" s="293">
        <f>E54*0.01</f>
        <v>-3552.5780699999996</v>
      </c>
      <c r="F79" s="343"/>
      <c r="G79" s="329"/>
      <c r="H79" s="258"/>
      <c r="I79" s="293">
        <f>I54*0.01</f>
        <v>-3662.3698271899998</v>
      </c>
      <c r="J79" s="343"/>
      <c r="K79" s="329"/>
      <c r="L79" s="258"/>
      <c r="M79" s="293">
        <f>M54*0.01</f>
        <v>-3723.2790469619526</v>
      </c>
      <c r="N79" s="343"/>
      <c r="O79" s="329"/>
      <c r="P79" s="258"/>
      <c r="Q79" s="293">
        <f>Q54*0.01</f>
        <v>-3797.4030779392638</v>
      </c>
      <c r="R79" s="343"/>
      <c r="S79" s="329"/>
      <c r="T79" s="258"/>
      <c r="U79" s="293">
        <f>U54*0.01</f>
        <v>-3873.1718789759402</v>
      </c>
      <c r="V79" s="326"/>
    </row>
    <row r="80" spans="2:22" ht="13.5" thickBot="1" x14ac:dyDescent="0.25">
      <c r="B80" s="330" t="s">
        <v>624</v>
      </c>
      <c r="C80" s="331"/>
      <c r="D80" s="352"/>
      <c r="E80" s="333">
        <f>E74-E79</f>
        <v>-1227.228929999972</v>
      </c>
      <c r="F80" s="353"/>
      <c r="G80" s="331"/>
      <c r="H80" s="352"/>
      <c r="I80" s="333">
        <f>I74-I79</f>
        <v>0.20323466238232868</v>
      </c>
      <c r="J80" s="353"/>
      <c r="K80" s="331"/>
      <c r="L80" s="332"/>
      <c r="M80" s="333">
        <f>M74-M79</f>
        <v>0.85135670317913537</v>
      </c>
      <c r="N80" s="353"/>
      <c r="O80" s="331"/>
      <c r="P80" s="332"/>
      <c r="Q80" s="333">
        <f>Q74-Q79</f>
        <v>1.0952840128743446</v>
      </c>
      <c r="R80" s="353"/>
      <c r="S80" s="331"/>
      <c r="T80" s="332"/>
      <c r="U80" s="333">
        <f>U74-U79</f>
        <v>0.98398138193488194</v>
      </c>
      <c r="V80" s="326"/>
    </row>
    <row r="82" spans="2:21" x14ac:dyDescent="0.2">
      <c r="B82" s="255" t="s">
        <v>558</v>
      </c>
      <c r="C82" s="256">
        <f>-C72</f>
        <v>9438</v>
      </c>
      <c r="D82" s="256"/>
      <c r="E82" s="256"/>
      <c r="F82" s="256"/>
      <c r="G82" s="256">
        <f>-G72+C82</f>
        <v>20139.731</v>
      </c>
      <c r="H82" s="256"/>
      <c r="I82" s="256"/>
      <c r="J82" s="256"/>
      <c r="K82" s="256">
        <f>-K72+G82</f>
        <v>25365.731</v>
      </c>
      <c r="L82" s="256"/>
      <c r="M82" s="256"/>
      <c r="N82" s="256"/>
      <c r="O82" s="256">
        <f>-O72+K82</f>
        <v>28590.731</v>
      </c>
      <c r="P82" s="256"/>
      <c r="Q82" s="256"/>
      <c r="R82" s="256"/>
      <c r="S82" s="256">
        <f>-S72+O82</f>
        <v>32101.731</v>
      </c>
      <c r="T82" s="256"/>
      <c r="U82" s="256"/>
    </row>
  </sheetData>
  <mergeCells count="12">
    <mergeCell ref="C44:E44"/>
    <mergeCell ref="G44:I44"/>
    <mergeCell ref="K44:M44"/>
    <mergeCell ref="O44:Q44"/>
    <mergeCell ref="S44:U44"/>
    <mergeCell ref="C43:I43"/>
    <mergeCell ref="K43:U43"/>
    <mergeCell ref="C4:E4"/>
    <mergeCell ref="G4:I4"/>
    <mergeCell ref="K4:M4"/>
    <mergeCell ref="O4:Q4"/>
    <mergeCell ref="S4:U4"/>
  </mergeCells>
  <pageMargins left="0.70866141732283472" right="0.70866141732283472" top="0.74803149606299213" bottom="0.74803149606299213" header="0.31496062992125984" footer="0.31496062992125984"/>
  <pageSetup paperSize="9" scale="70" orientation="landscape" r:id="rId1"/>
  <headerFooter>
    <oddFooter>&amp;C&amp;D&amp;R&amp;T</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I52"/>
  <sheetViews>
    <sheetView workbookViewId="0">
      <selection activeCell="B6" sqref="B6:D16"/>
    </sheetView>
  </sheetViews>
  <sheetFormatPr defaultRowHeight="12.75" x14ac:dyDescent="0.2"/>
  <cols>
    <col min="2" max="2" width="19.7109375" customWidth="1"/>
    <col min="3" max="3" width="12" customWidth="1"/>
    <col min="4" max="4" width="7.85546875" customWidth="1"/>
    <col min="7" max="7" width="18.140625" customWidth="1"/>
    <col min="8" max="8" width="11" customWidth="1"/>
  </cols>
  <sheetData>
    <row r="4" spans="2:9" x14ac:dyDescent="0.2">
      <c r="B4" t="s">
        <v>485</v>
      </c>
    </row>
    <row r="6" spans="2:9" x14ac:dyDescent="0.2">
      <c r="B6" s="193" t="s">
        <v>510</v>
      </c>
      <c r="C6" s="225"/>
      <c r="D6" s="231"/>
      <c r="E6" s="167"/>
      <c r="G6" s="193" t="s">
        <v>511</v>
      </c>
      <c r="H6" s="228"/>
      <c r="I6" s="235"/>
    </row>
    <row r="7" spans="2:9" x14ac:dyDescent="0.2">
      <c r="B7" s="196"/>
      <c r="C7" s="226" t="s">
        <v>470</v>
      </c>
      <c r="D7" s="232"/>
      <c r="G7" s="196"/>
      <c r="H7" s="226" t="s">
        <v>470</v>
      </c>
      <c r="I7" s="232"/>
    </row>
    <row r="8" spans="2:9" x14ac:dyDescent="0.2">
      <c r="B8" s="196" t="s">
        <v>428</v>
      </c>
      <c r="C8" s="227">
        <f>200.9-3.2-0.9+3+0.9</f>
        <v>200.70000000000002</v>
      </c>
      <c r="D8" s="233">
        <f>+C8/$C$16</f>
        <v>0.59661117717003576</v>
      </c>
      <c r="G8" s="196" t="s">
        <v>428</v>
      </c>
      <c r="H8" s="227">
        <f>177.5-1</f>
        <v>176.5</v>
      </c>
      <c r="I8" s="233">
        <f>+H8/$H$17</f>
        <v>0.50127804600965631</v>
      </c>
    </row>
    <row r="9" spans="2:9" x14ac:dyDescent="0.2">
      <c r="B9" s="196" t="s">
        <v>429</v>
      </c>
      <c r="C9" s="227">
        <v>22.9</v>
      </c>
      <c r="D9" s="233">
        <f t="shared" ref="D9:D14" si="0">+C9/$C$16</f>
        <v>6.8073721759809747E-2</v>
      </c>
      <c r="G9" s="196" t="s">
        <v>429</v>
      </c>
      <c r="H9" s="227">
        <f>22.9+3+2</f>
        <v>27.9</v>
      </c>
      <c r="I9" s="233">
        <f t="shared" ref="I9:I15" si="1">+H9/$H$17</f>
        <v>7.9238852598693538E-2</v>
      </c>
    </row>
    <row r="10" spans="2:9" x14ac:dyDescent="0.2">
      <c r="B10" s="196" t="s">
        <v>486</v>
      </c>
      <c r="C10" s="227">
        <v>32.9</v>
      </c>
      <c r="D10" s="233">
        <f t="shared" si="0"/>
        <v>9.7800237812128418E-2</v>
      </c>
      <c r="G10" s="196" t="s">
        <v>486</v>
      </c>
      <c r="H10" s="227">
        <f>36.4+5.5-1</f>
        <v>40.9</v>
      </c>
      <c r="I10" s="233">
        <f t="shared" si="1"/>
        <v>0.11616018176654358</v>
      </c>
    </row>
    <row r="11" spans="2:9" x14ac:dyDescent="0.2">
      <c r="B11" s="196" t="s">
        <v>487</v>
      </c>
      <c r="C11" s="227">
        <v>13.5</v>
      </c>
      <c r="D11" s="233">
        <f t="shared" si="0"/>
        <v>4.0130796670630207E-2</v>
      </c>
      <c r="G11" s="196" t="s">
        <v>487</v>
      </c>
      <c r="H11" s="227">
        <v>14.2</v>
      </c>
      <c r="I11" s="233">
        <f t="shared" si="1"/>
        <v>4.0329451860266964E-2</v>
      </c>
    </row>
    <row r="12" spans="2:9" x14ac:dyDescent="0.2">
      <c r="B12" s="196" t="s">
        <v>146</v>
      </c>
      <c r="C12" s="227">
        <v>45.9</v>
      </c>
      <c r="D12" s="233">
        <f t="shared" si="0"/>
        <v>0.13644470868014269</v>
      </c>
      <c r="G12" s="196" t="s">
        <v>146</v>
      </c>
      <c r="H12" s="227">
        <v>47.6</v>
      </c>
      <c r="I12" s="233">
        <f t="shared" si="1"/>
        <v>0.13518886679920478</v>
      </c>
    </row>
    <row r="13" spans="2:9" x14ac:dyDescent="0.2">
      <c r="B13" s="196" t="s">
        <v>488</v>
      </c>
      <c r="C13" s="227">
        <v>3.6</v>
      </c>
      <c r="D13" s="233">
        <f t="shared" si="0"/>
        <v>1.0701545778834722E-2</v>
      </c>
      <c r="G13" s="196" t="s">
        <v>488</v>
      </c>
      <c r="H13" s="227">
        <v>11.5</v>
      </c>
      <c r="I13" s="233">
        <f t="shared" si="1"/>
        <v>3.2661175802328885E-2</v>
      </c>
    </row>
    <row r="14" spans="2:9" x14ac:dyDescent="0.2">
      <c r="B14" s="196" t="s">
        <v>342</v>
      </c>
      <c r="C14" s="227">
        <v>16.899999999999999</v>
      </c>
      <c r="D14" s="233">
        <f t="shared" si="0"/>
        <v>5.0237812128418546E-2</v>
      </c>
      <c r="F14" s="221"/>
      <c r="G14" s="196" t="s">
        <v>342</v>
      </c>
      <c r="H14" s="227">
        <f>23-5.5</f>
        <v>17.5</v>
      </c>
      <c r="I14" s="233">
        <f t="shared" si="1"/>
        <v>4.9701789264413515E-2</v>
      </c>
    </row>
    <row r="15" spans="2:9" x14ac:dyDescent="0.2">
      <c r="B15" s="196"/>
      <c r="C15" s="227"/>
      <c r="D15" s="232"/>
      <c r="F15" s="221"/>
      <c r="G15" s="196" t="s">
        <v>509</v>
      </c>
      <c r="H15" s="227">
        <v>16</v>
      </c>
      <c r="I15" s="233">
        <f t="shared" si="1"/>
        <v>4.5441635898892357E-2</v>
      </c>
    </row>
    <row r="16" spans="2:9" x14ac:dyDescent="0.2">
      <c r="B16" s="229" t="s">
        <v>489</v>
      </c>
      <c r="C16" s="230">
        <f>SUM(C8:C14)</f>
        <v>336.4</v>
      </c>
      <c r="D16" s="234"/>
      <c r="F16" s="221"/>
      <c r="G16" s="196"/>
      <c r="H16" s="201"/>
      <c r="I16" s="232"/>
    </row>
    <row r="17" spans="3:9" x14ac:dyDescent="0.2">
      <c r="F17" s="221"/>
      <c r="G17" s="229" t="s">
        <v>489</v>
      </c>
      <c r="H17" s="230">
        <f>SUM(H8:H15)</f>
        <v>352.1</v>
      </c>
      <c r="I17" s="234"/>
    </row>
    <row r="18" spans="3:9" x14ac:dyDescent="0.2">
      <c r="C18" s="221"/>
    </row>
    <row r="19" spans="3:9" x14ac:dyDescent="0.2">
      <c r="C19" s="221"/>
    </row>
    <row r="20" spans="3:9" x14ac:dyDescent="0.2">
      <c r="C20" s="221"/>
    </row>
    <row r="44" spans="2:3" x14ac:dyDescent="0.2">
      <c r="B44" t="s">
        <v>490</v>
      </c>
    </row>
    <row r="48" spans="2:3" x14ac:dyDescent="0.2">
      <c r="B48" t="s">
        <v>491</v>
      </c>
      <c r="C48" s="220">
        <v>0.04</v>
      </c>
    </row>
    <row r="49" spans="2:3" x14ac:dyDescent="0.2">
      <c r="B49" s="167" t="s">
        <v>493</v>
      </c>
      <c r="C49" s="220">
        <v>1.2999999999999999E-2</v>
      </c>
    </row>
    <row r="50" spans="2:3" x14ac:dyDescent="0.2">
      <c r="B50" s="167" t="s">
        <v>494</v>
      </c>
      <c r="C50" s="220">
        <v>3.3000000000000002E-2</v>
      </c>
    </row>
    <row r="51" spans="2:3" x14ac:dyDescent="0.2">
      <c r="B51" t="s">
        <v>492</v>
      </c>
      <c r="C51" s="220">
        <v>6.4000000000000001E-2</v>
      </c>
    </row>
    <row r="52" spans="2:3" x14ac:dyDescent="0.2">
      <c r="B52" s="167" t="s">
        <v>495</v>
      </c>
      <c r="C52" s="220">
        <v>1E-3</v>
      </c>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J26"/>
  <sheetViews>
    <sheetView workbookViewId="0">
      <selection activeCell="B6" sqref="B6:D16"/>
    </sheetView>
  </sheetViews>
  <sheetFormatPr defaultRowHeight="12.75" x14ac:dyDescent="0.2"/>
  <cols>
    <col min="3" max="3" width="16.7109375" customWidth="1"/>
    <col min="4" max="4" width="13.140625" customWidth="1"/>
    <col min="5" max="5" width="12.5703125" customWidth="1"/>
    <col min="6" max="6" width="14.28515625" customWidth="1"/>
    <col min="7" max="7" width="12.5703125" customWidth="1"/>
    <col min="8" max="8" width="13.28515625" customWidth="1"/>
  </cols>
  <sheetData>
    <row r="3" spans="2:9" x14ac:dyDescent="0.2">
      <c r="B3" s="167" t="s">
        <v>461</v>
      </c>
    </row>
    <row r="5" spans="2:9" x14ac:dyDescent="0.2">
      <c r="D5" s="189" t="s">
        <v>403</v>
      </c>
      <c r="E5" s="189" t="s">
        <v>404</v>
      </c>
      <c r="F5" s="189" t="s">
        <v>405</v>
      </c>
      <c r="G5" s="189" t="s">
        <v>406</v>
      </c>
      <c r="H5" s="189" t="s">
        <v>455</v>
      </c>
    </row>
    <row r="6" spans="2:9" x14ac:dyDescent="0.2">
      <c r="D6" s="189" t="s">
        <v>418</v>
      </c>
      <c r="E6" s="189" t="s">
        <v>418</v>
      </c>
      <c r="F6" s="189" t="s">
        <v>418</v>
      </c>
      <c r="G6" s="189" t="s">
        <v>418</v>
      </c>
      <c r="H6" s="189" t="s">
        <v>418</v>
      </c>
    </row>
    <row r="7" spans="2:9" x14ac:dyDescent="0.2">
      <c r="D7" s="166"/>
      <c r="E7" s="166"/>
      <c r="F7" s="166"/>
      <c r="G7" s="166"/>
      <c r="H7" s="166"/>
      <c r="I7" s="166"/>
    </row>
    <row r="8" spans="2:9" x14ac:dyDescent="0.2">
      <c r="C8" s="167" t="s">
        <v>464</v>
      </c>
      <c r="D8" s="166">
        <f>+'PCT Format'!AY186+'PCT Format'!AZ186</f>
        <v>336468452.57592678</v>
      </c>
      <c r="E8" s="166" t="e">
        <f>+D18-D9</f>
        <v>#REF!</v>
      </c>
      <c r="F8" s="166" t="e">
        <f>+E18-E9</f>
        <v>#REF!</v>
      </c>
      <c r="G8" s="166" t="e">
        <f>+F18-F9</f>
        <v>#REF!</v>
      </c>
      <c r="H8" s="166" t="e">
        <f>+G18-G9</f>
        <v>#REF!</v>
      </c>
      <c r="I8" s="166"/>
    </row>
    <row r="9" spans="2:9" x14ac:dyDescent="0.2">
      <c r="C9" s="167" t="s">
        <v>504</v>
      </c>
      <c r="D9" s="166">
        <f>+'PCT Format'!BA186</f>
        <v>4950514.4362888411</v>
      </c>
      <c r="E9" s="166" t="e">
        <f>+'PCT Format'!BQ186</f>
        <v>#REF!</v>
      </c>
      <c r="F9" s="166" t="e">
        <f>+'PCT Format'!CH186</f>
        <v>#REF!</v>
      </c>
      <c r="G9" s="166" t="e">
        <f>+'PCT Format'!CX186</f>
        <v>#REF!</v>
      </c>
      <c r="H9" s="166" t="e">
        <f>+'PCT Format'!DN186</f>
        <v>#REF!</v>
      </c>
      <c r="I9" s="166"/>
    </row>
    <row r="10" spans="2:9" x14ac:dyDescent="0.2">
      <c r="C10" s="167" t="s">
        <v>399</v>
      </c>
      <c r="D10" s="166" t="e">
        <f>+'PCT Format'!BB186</f>
        <v>#REF!</v>
      </c>
      <c r="E10" s="166" t="e">
        <f>+'PCT Format'!BR186</f>
        <v>#REF!</v>
      </c>
      <c r="F10" s="166" t="e">
        <f>+'PCT Format'!CI186</f>
        <v>#REF!</v>
      </c>
      <c r="G10" s="166" t="e">
        <f>+'PCT Format'!CY186</f>
        <v>#REF!</v>
      </c>
      <c r="H10" s="166" t="e">
        <f>+'PCT Format'!DO186</f>
        <v>#REF!</v>
      </c>
      <c r="I10" s="166"/>
    </row>
    <row r="11" spans="2:9" x14ac:dyDescent="0.2">
      <c r="C11" s="167" t="s">
        <v>400</v>
      </c>
      <c r="D11" s="166" t="e">
        <f>+'PCT Format'!BC186</f>
        <v>#REF!</v>
      </c>
      <c r="E11" s="166" t="e">
        <f>+'PCT Format'!BS186</f>
        <v>#REF!</v>
      </c>
      <c r="F11" s="166" t="e">
        <f>+'PCT Format'!CJ186</f>
        <v>#REF!</v>
      </c>
      <c r="G11" s="166" t="e">
        <f>+'PCT Format'!CZ186</f>
        <v>#REF!</v>
      </c>
      <c r="H11" s="166" t="e">
        <f>+'PCT Format'!DP179</f>
        <v>#REF!</v>
      </c>
      <c r="I11" s="166"/>
    </row>
    <row r="12" spans="2:9" x14ac:dyDescent="0.2">
      <c r="C12" s="167" t="s">
        <v>287</v>
      </c>
      <c r="D12" s="166" t="e">
        <f>+'PCT Format'!BD186</f>
        <v>#REF!</v>
      </c>
      <c r="E12" s="166" t="e">
        <f>+'PCT Format'!BT186</f>
        <v>#REF!</v>
      </c>
      <c r="F12" s="166" t="e">
        <f>+'PCT Format'!CK186</f>
        <v>#REF!</v>
      </c>
      <c r="G12" s="166" t="e">
        <f>+'PCT Format'!DA186</f>
        <v>#REF!</v>
      </c>
      <c r="H12" s="166" t="e">
        <f>+'PCT Format'!DQ179</f>
        <v>#REF!</v>
      </c>
      <c r="I12" s="166"/>
    </row>
    <row r="13" spans="2:9" x14ac:dyDescent="0.2">
      <c r="C13" s="167" t="s">
        <v>463</v>
      </c>
      <c r="D13" s="166"/>
      <c r="E13" s="166" t="e">
        <f>+'PCT Format'!BX179</f>
        <v>#REF!</v>
      </c>
      <c r="F13" s="166"/>
      <c r="G13" s="166"/>
      <c r="H13" s="166"/>
      <c r="I13" s="166"/>
    </row>
    <row r="14" spans="2:9" x14ac:dyDescent="0.2">
      <c r="C14" s="167" t="s">
        <v>505</v>
      </c>
      <c r="D14" s="168" t="e">
        <f>SUM(D8:D13)</f>
        <v>#REF!</v>
      </c>
      <c r="E14" s="168" t="e">
        <f t="shared" ref="E14:H14" si="0">SUM(E8:E13)</f>
        <v>#REF!</v>
      </c>
      <c r="F14" s="168" t="e">
        <f t="shared" si="0"/>
        <v>#REF!</v>
      </c>
      <c r="G14" s="168" t="e">
        <f t="shared" si="0"/>
        <v>#REF!</v>
      </c>
      <c r="H14" s="168" t="e">
        <f t="shared" si="0"/>
        <v>#REF!</v>
      </c>
      <c r="I14" s="166"/>
    </row>
    <row r="15" spans="2:9" x14ac:dyDescent="0.2">
      <c r="D15" s="166"/>
      <c r="E15" s="166"/>
      <c r="F15" s="166"/>
      <c r="G15" s="166"/>
      <c r="H15" s="166"/>
      <c r="I15" s="166"/>
    </row>
    <row r="16" spans="2:9" x14ac:dyDescent="0.2">
      <c r="C16" s="167" t="s">
        <v>288</v>
      </c>
      <c r="D16" s="166">
        <f>+'PCT Format'!BG182</f>
        <v>-11174589</v>
      </c>
      <c r="E16" s="166">
        <f>+'PCT Format'!BW182</f>
        <v>-10543161</v>
      </c>
      <c r="F16" s="166">
        <f>+'PCT Format'!CN182</f>
        <v>-4549677</v>
      </c>
      <c r="G16" s="166">
        <f>+'PCT Format'!DD182</f>
        <v>-6105573</v>
      </c>
      <c r="H16" s="166">
        <f>+'PCT Format'!DT182</f>
        <v>-6572929</v>
      </c>
      <c r="I16" s="166"/>
    </row>
    <row r="17" spans="3:10" x14ac:dyDescent="0.2">
      <c r="D17" s="166"/>
      <c r="E17" s="166"/>
      <c r="F17" s="166"/>
      <c r="G17" s="166"/>
      <c r="H17" s="166"/>
      <c r="I17" s="166"/>
    </row>
    <row r="18" spans="3:10" x14ac:dyDescent="0.2">
      <c r="C18" s="167" t="s">
        <v>506</v>
      </c>
      <c r="D18" s="168" t="e">
        <f>+D14+D16</f>
        <v>#REF!</v>
      </c>
      <c r="E18" s="168" t="e">
        <f t="shared" ref="E18:H18" si="1">+E14+E16</f>
        <v>#REF!</v>
      </c>
      <c r="F18" s="168" t="e">
        <f t="shared" si="1"/>
        <v>#REF!</v>
      </c>
      <c r="G18" s="168" t="e">
        <f t="shared" si="1"/>
        <v>#REF!</v>
      </c>
      <c r="H18" s="168" t="e">
        <f t="shared" si="1"/>
        <v>#REF!</v>
      </c>
    </row>
    <row r="20" spans="3:10" x14ac:dyDescent="0.2">
      <c r="C20" s="167" t="s">
        <v>507</v>
      </c>
      <c r="D20" s="166" t="e">
        <f>-'PCT Format'!BH196</f>
        <v>#REF!</v>
      </c>
      <c r="E20" s="166" t="e">
        <f>-'PCT Format'!BY196</f>
        <v>#REF!</v>
      </c>
      <c r="F20" s="166" t="e">
        <f>-'PCT Format'!CO196</f>
        <v>#REF!</v>
      </c>
      <c r="G20" s="166" t="e">
        <f>-'PCT Format'!DE196</f>
        <v>#REF!</v>
      </c>
      <c r="H20" s="166" t="e">
        <f>-'PCT Format'!DU196</f>
        <v>#REF!</v>
      </c>
      <c r="I20" s="166"/>
      <c r="J20" s="166"/>
    </row>
    <row r="21" spans="3:10" x14ac:dyDescent="0.2">
      <c r="D21" s="166"/>
      <c r="E21" s="166"/>
      <c r="F21" s="166"/>
      <c r="G21" s="166"/>
      <c r="H21" s="166"/>
      <c r="I21" s="166"/>
      <c r="J21" s="166"/>
    </row>
    <row r="22" spans="3:10" x14ac:dyDescent="0.2">
      <c r="C22" s="167" t="s">
        <v>508</v>
      </c>
      <c r="D22" s="166" t="e">
        <f>+D20+D18</f>
        <v>#REF!</v>
      </c>
      <c r="E22" s="166" t="e">
        <f>+E20+E18</f>
        <v>#REF!</v>
      </c>
      <c r="F22" s="166" t="e">
        <f t="shared" ref="F22:H22" si="2">+F20+F18</f>
        <v>#REF!</v>
      </c>
      <c r="G22" s="166" t="e">
        <f t="shared" si="2"/>
        <v>#REF!</v>
      </c>
      <c r="H22" s="166" t="e">
        <f t="shared" si="2"/>
        <v>#REF!</v>
      </c>
      <c r="I22" s="166"/>
      <c r="J22" s="166"/>
    </row>
    <row r="23" spans="3:10" x14ac:dyDescent="0.2">
      <c r="D23" s="166"/>
      <c r="E23" s="166"/>
      <c r="F23" s="166"/>
      <c r="G23" s="166"/>
      <c r="H23" s="166"/>
      <c r="I23" s="166"/>
      <c r="J23" s="166"/>
    </row>
    <row r="24" spans="3:10" x14ac:dyDescent="0.2">
      <c r="D24" s="166"/>
      <c r="E24" s="166"/>
      <c r="F24" s="166"/>
      <c r="G24" s="166"/>
      <c r="H24" s="166"/>
      <c r="I24" s="166"/>
      <c r="J24" s="166"/>
    </row>
    <row r="25" spans="3:10" x14ac:dyDescent="0.2">
      <c r="D25" s="166"/>
      <c r="E25" s="166"/>
      <c r="F25" s="166"/>
      <c r="G25" s="166"/>
      <c r="H25" s="166"/>
      <c r="I25" s="166"/>
      <c r="J25" s="166"/>
    </row>
    <row r="26" spans="3:10" x14ac:dyDescent="0.2">
      <c r="D26" s="166"/>
      <c r="E26" s="166"/>
      <c r="F26" s="166"/>
      <c r="G26" s="166"/>
      <c r="H26" s="166"/>
      <c r="I26" s="166"/>
      <c r="J26" s="166"/>
    </row>
  </sheetData>
  <pageMargins left="0.7" right="0.7" top="0.75" bottom="0.75" header="0.3" footer="0.3"/>
  <pageSetup paperSize="9" scale="9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1"/>
  <sheetViews>
    <sheetView workbookViewId="0">
      <selection activeCell="G8" sqref="G8"/>
    </sheetView>
  </sheetViews>
  <sheetFormatPr defaultRowHeight="12.75" x14ac:dyDescent="0.2"/>
  <cols>
    <col min="2" max="2" width="16.42578125" bestFit="1" customWidth="1"/>
    <col min="3" max="3" width="14.140625" bestFit="1" customWidth="1"/>
    <col min="4" max="4" width="6.140625" bestFit="1" customWidth="1"/>
  </cols>
  <sheetData>
    <row r="2" spans="2:4" x14ac:dyDescent="0.2">
      <c r="C2" s="167" t="s">
        <v>567</v>
      </c>
      <c r="D2" s="167" t="s">
        <v>566</v>
      </c>
    </row>
    <row r="3" spans="2:4" x14ac:dyDescent="0.2">
      <c r="B3" s="167" t="s">
        <v>428</v>
      </c>
      <c r="C3" s="377" t="e">
        <f>SUM(#REF!)/1000000</f>
        <v>#REF!</v>
      </c>
      <c r="D3" s="379" t="e">
        <f>C3/$C$11</f>
        <v>#REF!</v>
      </c>
    </row>
    <row r="4" spans="2:4" x14ac:dyDescent="0.2">
      <c r="B4" s="167" t="s">
        <v>429</v>
      </c>
      <c r="C4" s="377" t="e">
        <f>SUM(#REF!)/1000000</f>
        <v>#REF!</v>
      </c>
      <c r="D4" s="379" t="e">
        <f t="shared" ref="D4:D10" si="0">C4/$C$11</f>
        <v>#REF!</v>
      </c>
    </row>
    <row r="5" spans="2:4" x14ac:dyDescent="0.2">
      <c r="B5" s="167" t="s">
        <v>518</v>
      </c>
      <c r="C5" s="377" t="e">
        <f>SUM(#REF!)/1000000</f>
        <v>#REF!</v>
      </c>
      <c r="D5" s="379" t="e">
        <f t="shared" si="0"/>
        <v>#REF!</v>
      </c>
    </row>
    <row r="6" spans="2:4" x14ac:dyDescent="0.2">
      <c r="B6" s="167" t="s">
        <v>431</v>
      </c>
      <c r="C6" s="377" t="e">
        <f>SUM(#REF!)/1000000</f>
        <v>#REF!</v>
      </c>
      <c r="D6" s="379" t="e">
        <f t="shared" si="0"/>
        <v>#REF!</v>
      </c>
    </row>
    <row r="7" spans="2:4" x14ac:dyDescent="0.2">
      <c r="B7" s="167" t="s">
        <v>146</v>
      </c>
      <c r="C7" s="377" t="e">
        <f>SUM(#REF!)/1000000</f>
        <v>#REF!</v>
      </c>
      <c r="D7" s="379" t="e">
        <f t="shared" si="0"/>
        <v>#REF!</v>
      </c>
    </row>
    <row r="8" spans="2:4" x14ac:dyDescent="0.2">
      <c r="B8" s="167" t="s">
        <v>460</v>
      </c>
      <c r="C8" s="377" t="e">
        <f>SUM(#REF!)/1000000</f>
        <v>#REF!</v>
      </c>
      <c r="D8" s="379" t="e">
        <f t="shared" si="0"/>
        <v>#REF!</v>
      </c>
    </row>
    <row r="9" spans="2:4" x14ac:dyDescent="0.2">
      <c r="B9" s="167" t="s">
        <v>516</v>
      </c>
      <c r="C9" s="377" t="e">
        <f>SUM(#REF!)/1000000</f>
        <v>#REF!</v>
      </c>
      <c r="D9" s="379" t="e">
        <f t="shared" si="0"/>
        <v>#REF!</v>
      </c>
    </row>
    <row r="10" spans="2:4" x14ac:dyDescent="0.2">
      <c r="B10" s="167" t="s">
        <v>342</v>
      </c>
      <c r="C10" s="377" t="e">
        <f>SUM(#REF!)/1000000</f>
        <v>#REF!</v>
      </c>
      <c r="D10" s="379" t="e">
        <f t="shared" si="0"/>
        <v>#REF!</v>
      </c>
    </row>
    <row r="11" spans="2:4" ht="13.5" thickBot="1" x14ac:dyDescent="0.25">
      <c r="C11" s="378" t="e">
        <f>SUM(C3:C10)</f>
        <v>#REF!</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I47"/>
  <sheetViews>
    <sheetView topLeftCell="B1" workbookViewId="0">
      <selection activeCell="E27" sqref="E27"/>
    </sheetView>
  </sheetViews>
  <sheetFormatPr defaultRowHeight="15" x14ac:dyDescent="0.25"/>
  <cols>
    <col min="1" max="1" width="9.140625" style="449"/>
    <col min="2" max="2" width="4.5703125" style="449" customWidth="1"/>
    <col min="3" max="3" width="46.5703125" style="449" bestFit="1" customWidth="1"/>
    <col min="4" max="4" width="16.85546875" style="449" customWidth="1"/>
    <col min="5" max="5" width="13.28515625" style="449" customWidth="1"/>
    <col min="6" max="6" width="12.42578125" style="449" customWidth="1"/>
    <col min="7" max="16384" width="9.140625" style="449"/>
  </cols>
  <sheetData>
    <row r="3" spans="2:6" ht="15.75" x14ac:dyDescent="0.25">
      <c r="B3" s="454"/>
      <c r="C3" s="477" t="s">
        <v>651</v>
      </c>
      <c r="D3" s="454"/>
      <c r="E3" s="472"/>
      <c r="F3" s="472" t="s">
        <v>657</v>
      </c>
    </row>
    <row r="4" spans="2:6" x14ac:dyDescent="0.25">
      <c r="B4" s="454"/>
      <c r="C4" s="472"/>
      <c r="D4" s="454"/>
      <c r="E4" s="454"/>
      <c r="F4" s="454"/>
    </row>
    <row r="5" spans="2:6" x14ac:dyDescent="0.25">
      <c r="B5" s="454"/>
      <c r="C5" s="472"/>
      <c r="D5" s="594" t="s">
        <v>597</v>
      </c>
      <c r="E5" s="594"/>
      <c r="F5" s="594"/>
    </row>
    <row r="6" spans="2:6" x14ac:dyDescent="0.25">
      <c r="B6" s="454"/>
      <c r="C6" s="472"/>
      <c r="D6" s="476" t="s">
        <v>522</v>
      </c>
      <c r="E6" s="476" t="s">
        <v>650</v>
      </c>
      <c r="F6" s="476" t="s">
        <v>649</v>
      </c>
    </row>
    <row r="7" spans="2:6" x14ac:dyDescent="0.25">
      <c r="B7" s="454"/>
      <c r="C7" s="472"/>
      <c r="D7" s="476" t="s">
        <v>541</v>
      </c>
      <c r="E7" s="476" t="s">
        <v>541</v>
      </c>
      <c r="F7" s="476" t="s">
        <v>541</v>
      </c>
    </row>
    <row r="8" spans="2:6" x14ac:dyDescent="0.25">
      <c r="B8" s="472" t="s">
        <v>648</v>
      </c>
      <c r="C8" s="474"/>
      <c r="D8" s="467"/>
      <c r="E8" s="467"/>
      <c r="F8" s="467"/>
    </row>
    <row r="9" spans="2:6" ht="18" customHeight="1" x14ac:dyDescent="0.25">
      <c r="B9" s="454"/>
      <c r="C9" s="474" t="s">
        <v>428</v>
      </c>
      <c r="D9" s="467">
        <v>197416</v>
      </c>
      <c r="E9" s="467">
        <v>0</v>
      </c>
      <c r="F9" s="467">
        <f t="shared" ref="F9:F17" si="0">+D9+E9</f>
        <v>197416</v>
      </c>
    </row>
    <row r="10" spans="2:6" x14ac:dyDescent="0.25">
      <c r="B10" s="454"/>
      <c r="C10" s="474" t="s">
        <v>429</v>
      </c>
      <c r="D10" s="467">
        <v>28679</v>
      </c>
      <c r="E10" s="467">
        <v>0</v>
      </c>
      <c r="F10" s="467">
        <f t="shared" si="0"/>
        <v>28679</v>
      </c>
    </row>
    <row r="11" spans="2:6" x14ac:dyDescent="0.25">
      <c r="B11" s="454"/>
      <c r="C11" s="474" t="s">
        <v>518</v>
      </c>
      <c r="D11" s="467">
        <v>21455</v>
      </c>
      <c r="E11" s="467">
        <v>0</v>
      </c>
      <c r="F11" s="467">
        <f t="shared" si="0"/>
        <v>21455</v>
      </c>
    </row>
    <row r="12" spans="2:6" x14ac:dyDescent="0.25">
      <c r="B12" s="454"/>
      <c r="C12" s="474" t="s">
        <v>431</v>
      </c>
      <c r="D12" s="467">
        <v>14590</v>
      </c>
      <c r="E12" s="467">
        <v>0</v>
      </c>
      <c r="F12" s="467">
        <f t="shared" si="0"/>
        <v>14590</v>
      </c>
    </row>
    <row r="13" spans="2:6" x14ac:dyDescent="0.25">
      <c r="B13" s="454"/>
      <c r="C13" s="474" t="s">
        <v>146</v>
      </c>
      <c r="D13" s="467">
        <v>45138</v>
      </c>
      <c r="E13" s="467">
        <v>0</v>
      </c>
      <c r="F13" s="467">
        <f t="shared" si="0"/>
        <v>45138</v>
      </c>
    </row>
    <row r="14" spans="2:6" x14ac:dyDescent="0.25">
      <c r="B14" s="454"/>
      <c r="C14" s="474" t="s">
        <v>460</v>
      </c>
      <c r="D14" s="467">
        <v>4717</v>
      </c>
      <c r="E14" s="467">
        <v>0</v>
      </c>
      <c r="F14" s="467">
        <f t="shared" si="0"/>
        <v>4717</v>
      </c>
    </row>
    <row r="15" spans="2:6" x14ac:dyDescent="0.25">
      <c r="B15" s="454"/>
      <c r="C15" s="474" t="s">
        <v>516</v>
      </c>
      <c r="D15" s="467">
        <v>6684</v>
      </c>
      <c r="E15" s="467">
        <v>0</v>
      </c>
      <c r="F15" s="467">
        <f t="shared" si="0"/>
        <v>6684</v>
      </c>
    </row>
    <row r="16" spans="2:6" x14ac:dyDescent="0.25">
      <c r="B16" s="454"/>
      <c r="C16" s="474" t="s">
        <v>647</v>
      </c>
      <c r="D16" s="467">
        <v>16597</v>
      </c>
      <c r="E16" s="467">
        <v>0</v>
      </c>
      <c r="F16" s="467">
        <f t="shared" si="0"/>
        <v>16597</v>
      </c>
    </row>
    <row r="17" spans="2:9" x14ac:dyDescent="0.25">
      <c r="B17" s="454"/>
      <c r="C17" s="454" t="s">
        <v>662</v>
      </c>
      <c r="D17" s="467">
        <v>9030</v>
      </c>
      <c r="E17" s="467">
        <v>0</v>
      </c>
      <c r="F17" s="467">
        <f t="shared" si="0"/>
        <v>9030</v>
      </c>
    </row>
    <row r="18" spans="2:9" x14ac:dyDescent="0.25">
      <c r="B18" s="454"/>
      <c r="C18" s="469" t="s">
        <v>646</v>
      </c>
      <c r="D18" s="480">
        <f>SUM(D9:D17)</f>
        <v>344306</v>
      </c>
      <c r="E18" s="480">
        <f t="shared" ref="E18:F18" si="1">SUM(E9:E17)</f>
        <v>0</v>
      </c>
      <c r="F18" s="480">
        <f t="shared" si="1"/>
        <v>344306</v>
      </c>
    </row>
    <row r="19" spans="2:9" x14ac:dyDescent="0.25">
      <c r="B19" s="454"/>
      <c r="C19" s="475"/>
      <c r="D19" s="463"/>
      <c r="E19" s="463"/>
      <c r="F19" s="462"/>
    </row>
    <row r="20" spans="2:9" x14ac:dyDescent="0.25">
      <c r="B20" s="472" t="s">
        <v>645</v>
      </c>
      <c r="C20" s="475"/>
      <c r="D20" s="463"/>
      <c r="E20" s="463"/>
      <c r="F20" s="462"/>
    </row>
    <row r="21" spans="2:9" ht="21" customHeight="1" x14ac:dyDescent="0.25">
      <c r="B21" s="454"/>
      <c r="C21" s="474" t="s">
        <v>644</v>
      </c>
      <c r="D21" s="481">
        <v>7711.2063756416483</v>
      </c>
      <c r="E21" s="481">
        <v>0</v>
      </c>
      <c r="F21" s="467">
        <f>+D21+E21</f>
        <v>7711.2063756416483</v>
      </c>
    </row>
    <row r="22" spans="2:9" x14ac:dyDescent="0.25">
      <c r="B22" s="454"/>
      <c r="C22" s="474" t="s">
        <v>643</v>
      </c>
      <c r="D22" s="481">
        <v>6742.8585590765852</v>
      </c>
      <c r="E22" s="482">
        <v>0</v>
      </c>
      <c r="F22" s="467">
        <f>+D22+E22</f>
        <v>6742.8585590765852</v>
      </c>
    </row>
    <row r="23" spans="2:9" x14ac:dyDescent="0.25">
      <c r="B23" s="454"/>
      <c r="C23" s="469" t="s">
        <v>642</v>
      </c>
      <c r="D23" s="480">
        <f>SUM(D21:D22)</f>
        <v>14454.064934718233</v>
      </c>
      <c r="E23" s="480">
        <f>SUM(E21:E22)</f>
        <v>0</v>
      </c>
      <c r="F23" s="468">
        <f>SUM(F21:F22)</f>
        <v>14454.064934718233</v>
      </c>
    </row>
    <row r="24" spans="2:9" x14ac:dyDescent="0.25">
      <c r="B24" s="454"/>
      <c r="C24" s="464"/>
      <c r="D24" s="463"/>
      <c r="E24" s="463"/>
      <c r="F24" s="462"/>
    </row>
    <row r="25" spans="2:9" x14ac:dyDescent="0.25">
      <c r="B25" s="472" t="s">
        <v>641</v>
      </c>
      <c r="C25" s="474"/>
      <c r="D25" s="481"/>
      <c r="E25" s="482"/>
      <c r="F25" s="467"/>
    </row>
    <row r="26" spans="2:9" x14ac:dyDescent="0.25">
      <c r="B26" s="454"/>
      <c r="C26" s="454" t="s">
        <v>659</v>
      </c>
      <c r="D26" s="481">
        <v>0</v>
      </c>
      <c r="E26" s="481">
        <v>3505</v>
      </c>
      <c r="F26" s="467">
        <f>+D26+E26</f>
        <v>3505</v>
      </c>
      <c r="H26" s="454"/>
    </row>
    <row r="27" spans="2:9" x14ac:dyDescent="0.25">
      <c r="B27" s="454"/>
      <c r="C27" s="454" t="s">
        <v>660</v>
      </c>
      <c r="D27" s="481">
        <v>0</v>
      </c>
      <c r="E27" s="481">
        <v>1070</v>
      </c>
      <c r="F27" s="467">
        <f>+D27+E27</f>
        <v>1070</v>
      </c>
      <c r="H27" s="454"/>
      <c r="I27" s="487"/>
    </row>
    <row r="28" spans="2:9" x14ac:dyDescent="0.25">
      <c r="B28" s="454"/>
      <c r="C28" s="454" t="s">
        <v>661</v>
      </c>
      <c r="D28" s="481">
        <v>1610</v>
      </c>
      <c r="E28" s="481">
        <v>3272</v>
      </c>
      <c r="F28" s="467">
        <f>+D28+E28</f>
        <v>4882</v>
      </c>
      <c r="H28" s="454"/>
    </row>
    <row r="29" spans="2:9" x14ac:dyDescent="0.25">
      <c r="B29" s="454"/>
      <c r="C29" s="454" t="s">
        <v>640</v>
      </c>
      <c r="D29" s="481">
        <v>0</v>
      </c>
      <c r="E29" s="481">
        <v>1028</v>
      </c>
      <c r="F29" s="467">
        <f>+D29+E29</f>
        <v>1028</v>
      </c>
      <c r="H29" s="454"/>
    </row>
    <row r="30" spans="2:9" x14ac:dyDescent="0.25">
      <c r="B30" s="454"/>
      <c r="C30" s="469" t="s">
        <v>639</v>
      </c>
      <c r="D30" s="480">
        <f>SUM(D26:D29)</f>
        <v>1610</v>
      </c>
      <c r="E30" s="480">
        <f>SUM(E26:E29)</f>
        <v>8875</v>
      </c>
      <c r="F30" s="468">
        <f>SUM(F26:F29)</f>
        <v>10485</v>
      </c>
    </row>
    <row r="31" spans="2:9" x14ac:dyDescent="0.25">
      <c r="B31" s="454"/>
      <c r="C31" s="473"/>
      <c r="D31" s="463"/>
      <c r="E31" s="463"/>
      <c r="F31" s="462"/>
    </row>
    <row r="32" spans="2:9" x14ac:dyDescent="0.25">
      <c r="B32" s="472" t="s">
        <v>638</v>
      </c>
      <c r="C32" s="473"/>
      <c r="D32" s="463">
        <v>0</v>
      </c>
      <c r="E32" s="463">
        <v>2235</v>
      </c>
      <c r="F32" s="467">
        <f>+D32+E32</f>
        <v>2235</v>
      </c>
    </row>
    <row r="33" spans="2:6" x14ac:dyDescent="0.25">
      <c r="B33" s="472"/>
      <c r="C33" s="473"/>
      <c r="D33" s="463"/>
      <c r="E33" s="463"/>
      <c r="F33" s="467"/>
    </row>
    <row r="34" spans="2:6" x14ac:dyDescent="0.25">
      <c r="B34" s="472" t="s">
        <v>637</v>
      </c>
      <c r="C34" s="454"/>
      <c r="D34" s="481"/>
      <c r="E34" s="481"/>
      <c r="F34" s="467"/>
    </row>
    <row r="35" spans="2:6" x14ac:dyDescent="0.25">
      <c r="B35" s="454"/>
      <c r="C35" s="471" t="s">
        <v>636</v>
      </c>
      <c r="D35" s="481">
        <v>-9216</v>
      </c>
      <c r="E35" s="481">
        <v>0</v>
      </c>
      <c r="F35" s="467">
        <f>+D35+E35</f>
        <v>-9216</v>
      </c>
    </row>
    <row r="36" spans="2:6" x14ac:dyDescent="0.25">
      <c r="B36" s="454"/>
      <c r="C36" s="470" t="s">
        <v>635</v>
      </c>
      <c r="D36" s="481">
        <v>-5389</v>
      </c>
      <c r="E36" s="482">
        <v>0</v>
      </c>
      <c r="F36" s="467">
        <f>+D36+E36</f>
        <v>-5389</v>
      </c>
    </row>
    <row r="37" spans="2:6" x14ac:dyDescent="0.25">
      <c r="B37" s="454"/>
      <c r="C37" s="470" t="s">
        <v>634</v>
      </c>
      <c r="D37" s="481">
        <v>-2266</v>
      </c>
      <c r="E37" s="481">
        <v>-2348</v>
      </c>
      <c r="F37" s="467">
        <f>+D37+E37</f>
        <v>-4614</v>
      </c>
    </row>
    <row r="38" spans="2:6" x14ac:dyDescent="0.25">
      <c r="B38" s="454"/>
      <c r="C38" s="470" t="s">
        <v>633</v>
      </c>
      <c r="D38" s="481">
        <v>-1783</v>
      </c>
      <c r="E38" s="481">
        <v>0</v>
      </c>
      <c r="F38" s="467">
        <f>+D38+E38</f>
        <v>-1783</v>
      </c>
    </row>
    <row r="39" spans="2:6" x14ac:dyDescent="0.25">
      <c r="B39" s="454"/>
      <c r="C39" s="469" t="s">
        <v>632</v>
      </c>
      <c r="D39" s="468">
        <f>SUM(D35:D38)</f>
        <v>-18654</v>
      </c>
      <c r="E39" s="468">
        <f>SUM(E35:E38)</f>
        <v>-2348</v>
      </c>
      <c r="F39" s="468">
        <f>SUM(F35:F38)</f>
        <v>-21002</v>
      </c>
    </row>
    <row r="40" spans="2:6" x14ac:dyDescent="0.25">
      <c r="B40" s="454"/>
      <c r="C40" s="454"/>
      <c r="D40" s="467"/>
      <c r="E40" s="467"/>
      <c r="F40" s="467"/>
    </row>
    <row r="41" spans="2:6" x14ac:dyDescent="0.25">
      <c r="B41" s="454"/>
      <c r="C41" s="466" t="s">
        <v>631</v>
      </c>
      <c r="D41" s="465">
        <f>+D18+D23+D30+D32+D39</f>
        <v>341716.06493471825</v>
      </c>
      <c r="E41" s="465">
        <f>+E18+E23+E30+E32+E39</f>
        <v>8762</v>
      </c>
      <c r="F41" s="465">
        <f>+F18+F23+F30+F32+F39</f>
        <v>350478.06493471825</v>
      </c>
    </row>
    <row r="42" spans="2:6" x14ac:dyDescent="0.25">
      <c r="B42" s="454"/>
      <c r="C42" s="464"/>
      <c r="D42" s="462"/>
      <c r="E42" s="463"/>
      <c r="F42" s="462"/>
    </row>
    <row r="43" spans="2:6" x14ac:dyDescent="0.25">
      <c r="B43" s="454"/>
      <c r="C43" s="461" t="s">
        <v>630</v>
      </c>
      <c r="D43" s="460">
        <v>-350478</v>
      </c>
      <c r="E43" s="460">
        <v>-4780</v>
      </c>
      <c r="F43" s="460">
        <f>+D43+E43</f>
        <v>-355258</v>
      </c>
    </row>
    <row r="44" spans="2:6" x14ac:dyDescent="0.25">
      <c r="B44" s="454"/>
      <c r="C44" s="459" t="s">
        <v>629</v>
      </c>
      <c r="D44" s="458">
        <v>0</v>
      </c>
      <c r="E44" s="458">
        <v>0</v>
      </c>
      <c r="F44" s="458">
        <f>+D44+E44</f>
        <v>0</v>
      </c>
    </row>
    <row r="45" spans="2:6" ht="15.75" thickBot="1" x14ac:dyDescent="0.3">
      <c r="B45" s="454"/>
      <c r="C45" s="457" t="s">
        <v>628</v>
      </c>
      <c r="D45" s="456">
        <f>+D43+D44</f>
        <v>-350478</v>
      </c>
      <c r="E45" s="456">
        <f>+E43+E44</f>
        <v>-4780</v>
      </c>
      <c r="F45" s="456">
        <f>+F43+F44</f>
        <v>-355258</v>
      </c>
    </row>
    <row r="46" spans="2:6" ht="15.75" thickTop="1" x14ac:dyDescent="0.25">
      <c r="B46" s="454"/>
      <c r="C46" s="453" t="s">
        <v>627</v>
      </c>
      <c r="D46" s="455">
        <f>+D45+D41</f>
        <v>-8761.935065281752</v>
      </c>
      <c r="E46" s="455"/>
      <c r="F46" s="455">
        <f>+F45+F41</f>
        <v>-4779.935065281752</v>
      </c>
    </row>
    <row r="47" spans="2:6" x14ac:dyDescent="0.25">
      <c r="B47" s="454"/>
      <c r="C47" s="453" t="s">
        <v>626</v>
      </c>
      <c r="D47" s="452">
        <f>+D46/(D43-7)</f>
        <v>2.4999458080322272E-2</v>
      </c>
      <c r="E47" s="451"/>
      <c r="F47" s="450">
        <f>+F46/(F43-7)</f>
        <v>1.3454562271210932E-2</v>
      </c>
    </row>
  </sheetData>
  <mergeCells count="1">
    <mergeCell ref="D5:F5"/>
  </mergeCells>
  <pageMargins left="0.7" right="0.7" top="0.75" bottom="0.75" header="0.3" footer="0.3"/>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48"/>
  <sheetViews>
    <sheetView zoomScale="85" zoomScaleNormal="85" workbookViewId="0">
      <selection activeCell="F51" sqref="F51"/>
    </sheetView>
  </sheetViews>
  <sheetFormatPr defaultRowHeight="12.75" x14ac:dyDescent="0.2"/>
  <cols>
    <col min="1" max="1" width="1.140625" style="167" customWidth="1"/>
    <col min="2" max="2" width="45" style="167" bestFit="1" customWidth="1"/>
    <col min="3" max="3" width="11.140625" hidden="1" customWidth="1"/>
    <col min="4" max="4" width="11.7109375" style="167" bestFit="1" customWidth="1"/>
    <col min="5" max="5" width="14.42578125" style="167" bestFit="1" customWidth="1"/>
    <col min="6" max="6" width="13.5703125" style="167" customWidth="1"/>
    <col min="7" max="7" width="10.5703125" style="167" bestFit="1" customWidth="1"/>
    <col min="8" max="8" width="12.140625" style="167" customWidth="1"/>
    <col min="9" max="9" width="10.5703125" style="167" bestFit="1" customWidth="1"/>
    <col min="10" max="10" width="47.5703125" style="167" hidden="1" customWidth="1"/>
    <col min="11" max="11" width="24.7109375" style="167" hidden="1" customWidth="1"/>
    <col min="12" max="12" width="16.42578125" style="167" hidden="1" customWidth="1"/>
    <col min="13" max="14" width="9.140625" style="167"/>
    <col min="15" max="15" width="11.42578125" style="167" bestFit="1" customWidth="1"/>
    <col min="16" max="16" width="10.28515625" style="167" bestFit="1" customWidth="1"/>
    <col min="17" max="17" width="11.85546875" style="167" bestFit="1" customWidth="1"/>
    <col min="18" max="19" width="10.28515625" style="167" bestFit="1" customWidth="1"/>
    <col min="20" max="16384" width="9.140625" style="167"/>
  </cols>
  <sheetData>
    <row r="1" spans="2:12" ht="25.5" customHeight="1" thickBot="1" x14ac:dyDescent="0.3">
      <c r="B1" s="169" t="s">
        <v>727</v>
      </c>
      <c r="C1" s="380" t="s">
        <v>473</v>
      </c>
      <c r="D1" s="380"/>
      <c r="E1" s="380"/>
      <c r="F1" s="380"/>
      <c r="G1" s="380"/>
      <c r="H1" s="479" t="s">
        <v>656</v>
      </c>
      <c r="I1" s="380"/>
    </row>
    <row r="2" spans="2:12" x14ac:dyDescent="0.2">
      <c r="B2" s="595" t="s">
        <v>568</v>
      </c>
      <c r="C2" s="601" t="s">
        <v>601</v>
      </c>
      <c r="D2" s="603" t="s">
        <v>597</v>
      </c>
      <c r="E2" s="604"/>
      <c r="F2" s="605"/>
      <c r="G2" s="598" t="s">
        <v>598</v>
      </c>
      <c r="H2" s="599"/>
      <c r="I2" s="600"/>
      <c r="J2" s="422" t="s">
        <v>569</v>
      </c>
      <c r="K2" s="385" t="s">
        <v>591</v>
      </c>
      <c r="L2" s="383" t="s">
        <v>592</v>
      </c>
    </row>
    <row r="3" spans="2:12" ht="12.75" customHeight="1" x14ac:dyDescent="0.2">
      <c r="B3" s="596"/>
      <c r="C3" s="602"/>
      <c r="D3" s="606" t="s">
        <v>613</v>
      </c>
      <c r="E3" s="448" t="s">
        <v>599</v>
      </c>
      <c r="F3" s="614" t="s">
        <v>2</v>
      </c>
      <c r="G3" s="608" t="s">
        <v>452</v>
      </c>
      <c r="H3" s="610" t="s">
        <v>655</v>
      </c>
      <c r="I3" s="612" t="s">
        <v>2</v>
      </c>
      <c r="J3" s="423"/>
      <c r="K3" s="381"/>
      <c r="L3" s="384"/>
    </row>
    <row r="4" spans="2:12" ht="25.5" x14ac:dyDescent="0.2">
      <c r="B4" s="597"/>
      <c r="C4" s="417"/>
      <c r="D4" s="607"/>
      <c r="E4" s="416" t="s">
        <v>654</v>
      </c>
      <c r="F4" s="615"/>
      <c r="G4" s="609"/>
      <c r="H4" s="611"/>
      <c r="I4" s="613"/>
      <c r="J4" s="418"/>
      <c r="K4" s="418"/>
      <c r="L4" s="418"/>
    </row>
    <row r="5" spans="2:12" customFormat="1" x14ac:dyDescent="0.2">
      <c r="B5" s="433" t="s">
        <v>608</v>
      </c>
      <c r="C5" s="415"/>
      <c r="D5" s="488" t="s">
        <v>541</v>
      </c>
      <c r="E5" s="489" t="s">
        <v>541</v>
      </c>
      <c r="F5" s="490" t="s">
        <v>541</v>
      </c>
      <c r="G5" s="488" t="s">
        <v>541</v>
      </c>
      <c r="H5" s="489" t="s">
        <v>541</v>
      </c>
      <c r="I5" s="490" t="s">
        <v>541</v>
      </c>
    </row>
    <row r="6" spans="2:12" x14ac:dyDescent="0.2">
      <c r="B6" s="435" t="s">
        <v>604</v>
      </c>
      <c r="C6" s="412" t="e">
        <f>SUM(#REF!)</f>
        <v>#REF!</v>
      </c>
      <c r="D6" s="494">
        <v>2385</v>
      </c>
      <c r="E6" s="495">
        <v>0</v>
      </c>
      <c r="F6" s="496">
        <v>2385</v>
      </c>
      <c r="G6" s="494">
        <v>0</v>
      </c>
      <c r="H6" s="495">
        <v>0</v>
      </c>
      <c r="I6" s="496">
        <v>0</v>
      </c>
      <c r="J6" s="411"/>
      <c r="K6" s="212"/>
      <c r="L6" s="212"/>
    </row>
    <row r="7" spans="2:12" ht="6" customHeight="1" x14ac:dyDescent="0.2">
      <c r="B7" s="434"/>
      <c r="C7" s="430"/>
      <c r="D7" s="444"/>
      <c r="E7" s="497"/>
      <c r="F7" s="498"/>
      <c r="G7" s="444"/>
      <c r="H7" s="497"/>
      <c r="I7" s="498"/>
      <c r="J7" s="424"/>
      <c r="L7" s="391"/>
    </row>
    <row r="8" spans="2:12" x14ac:dyDescent="0.2">
      <c r="B8" s="433" t="s">
        <v>600</v>
      </c>
      <c r="C8" s="415"/>
      <c r="D8" s="499"/>
      <c r="E8" s="500"/>
      <c r="F8" s="501"/>
      <c r="G8" s="499"/>
      <c r="H8" s="500"/>
      <c r="I8" s="501"/>
      <c r="J8" s="425"/>
      <c r="K8" s="382"/>
      <c r="L8" s="390"/>
    </row>
    <row r="9" spans="2:12" x14ac:dyDescent="0.2">
      <c r="B9" s="435" t="s">
        <v>607</v>
      </c>
      <c r="C9" s="412">
        <f>SUM(C8:C8)</f>
        <v>0</v>
      </c>
      <c r="D9" s="504">
        <v>1994</v>
      </c>
      <c r="E9" s="505">
        <v>342</v>
      </c>
      <c r="F9" s="506">
        <v>2336</v>
      </c>
      <c r="G9" s="494">
        <v>2216</v>
      </c>
      <c r="H9" s="505">
        <v>0</v>
      </c>
      <c r="I9" s="506">
        <v>2216</v>
      </c>
      <c r="J9" s="411"/>
      <c r="K9" s="212"/>
      <c r="L9" s="212"/>
    </row>
    <row r="10" spans="2:12" x14ac:dyDescent="0.2">
      <c r="B10" s="435" t="s">
        <v>658</v>
      </c>
      <c r="C10" s="432"/>
      <c r="D10" s="507">
        <v>4379</v>
      </c>
      <c r="E10" s="508">
        <v>342</v>
      </c>
      <c r="F10" s="509">
        <v>4721</v>
      </c>
      <c r="G10" s="510">
        <v>2216</v>
      </c>
      <c r="H10" s="508">
        <v>0</v>
      </c>
      <c r="I10" s="509">
        <v>2216</v>
      </c>
      <c r="J10" s="411"/>
      <c r="K10" s="212"/>
      <c r="L10" s="212"/>
    </row>
    <row r="11" spans="2:12" ht="15" customHeight="1" x14ac:dyDescent="0.2">
      <c r="B11" s="484"/>
      <c r="C11" s="485"/>
      <c r="D11" s="511"/>
      <c r="E11" s="512"/>
      <c r="F11" s="513"/>
      <c r="G11" s="511"/>
      <c r="H11" s="512"/>
      <c r="I11" s="513"/>
      <c r="J11" s="426"/>
      <c r="K11" s="388"/>
      <c r="L11" s="370"/>
    </row>
    <row r="12" spans="2:12" x14ac:dyDescent="0.2">
      <c r="B12" s="433" t="s">
        <v>570</v>
      </c>
      <c r="C12" s="430"/>
      <c r="D12" s="499"/>
      <c r="E12" s="500"/>
      <c r="F12" s="501"/>
      <c r="G12" s="499"/>
      <c r="H12" s="500"/>
      <c r="I12" s="501"/>
      <c r="J12" s="427"/>
      <c r="K12" s="382"/>
      <c r="L12" s="390"/>
    </row>
    <row r="13" spans="2:12" x14ac:dyDescent="0.2">
      <c r="B13" s="434" t="s">
        <v>573</v>
      </c>
      <c r="C13" s="386"/>
      <c r="D13" s="420"/>
      <c r="E13" s="497">
        <v>1500</v>
      </c>
      <c r="F13" s="421">
        <f t="shared" ref="F13:F19" si="0">SUM(D13:E13)</f>
        <v>1500</v>
      </c>
      <c r="G13" s="444">
        <v>1500</v>
      </c>
      <c r="H13" s="497"/>
      <c r="I13" s="421">
        <f>SUM(G13:H13)</f>
        <v>1500</v>
      </c>
      <c r="J13" s="424" t="s">
        <v>574</v>
      </c>
      <c r="K13" s="212" t="s">
        <v>460</v>
      </c>
      <c r="L13" s="391" t="s">
        <v>460</v>
      </c>
    </row>
    <row r="14" spans="2:12" x14ac:dyDescent="0.2">
      <c r="B14" s="434" t="s">
        <v>575</v>
      </c>
      <c r="C14" s="386">
        <f>332000+232000+200000</f>
        <v>764000</v>
      </c>
      <c r="D14" s="420"/>
      <c r="E14" s="497">
        <v>875</v>
      </c>
      <c r="F14" s="421">
        <f t="shared" si="0"/>
        <v>875</v>
      </c>
      <c r="G14" s="502"/>
      <c r="H14" s="503"/>
      <c r="I14" s="421">
        <f>SUM(G14:H14)</f>
        <v>0</v>
      </c>
      <c r="J14" s="424" t="s">
        <v>576</v>
      </c>
      <c r="K14" s="212" t="s">
        <v>342</v>
      </c>
      <c r="L14" s="391" t="s">
        <v>460</v>
      </c>
    </row>
    <row r="15" spans="2:12" x14ac:dyDescent="0.2">
      <c r="B15" s="434" t="s">
        <v>595</v>
      </c>
      <c r="C15" s="386">
        <v>300000</v>
      </c>
      <c r="D15" s="420"/>
      <c r="E15" s="497">
        <v>300</v>
      </c>
      <c r="F15" s="421">
        <f t="shared" si="0"/>
        <v>300</v>
      </c>
      <c r="G15" s="502">
        <v>300</v>
      </c>
      <c r="H15" s="497"/>
      <c r="I15" s="421">
        <f>SUM(G15:H15)</f>
        <v>300</v>
      </c>
      <c r="J15" s="424"/>
      <c r="K15" s="212" t="s">
        <v>342</v>
      </c>
      <c r="L15" s="391" t="s">
        <v>428</v>
      </c>
    </row>
    <row r="16" spans="2:12" x14ac:dyDescent="0.2">
      <c r="B16" s="434" t="s">
        <v>594</v>
      </c>
      <c r="C16" s="386"/>
      <c r="D16" s="420"/>
      <c r="E16" s="497">
        <v>300</v>
      </c>
      <c r="F16" s="421">
        <f t="shared" si="0"/>
        <v>300</v>
      </c>
      <c r="G16" s="502">
        <v>300</v>
      </c>
      <c r="H16" s="497"/>
      <c r="I16" s="493">
        <f>SUM(G16:H16)</f>
        <v>300</v>
      </c>
      <c r="J16" s="424"/>
      <c r="K16" s="212" t="s">
        <v>342</v>
      </c>
      <c r="L16" s="391" t="s">
        <v>460</v>
      </c>
    </row>
    <row r="17" spans="2:12" x14ac:dyDescent="0.2">
      <c r="B17" s="436" t="s">
        <v>652</v>
      </c>
      <c r="C17" s="386"/>
      <c r="D17" s="420"/>
      <c r="E17" s="497">
        <v>1028</v>
      </c>
      <c r="F17" s="421">
        <f t="shared" si="0"/>
        <v>1028</v>
      </c>
      <c r="G17" s="502"/>
      <c r="H17" s="497"/>
      <c r="I17" s="493">
        <f t="shared" ref="I17:I19" si="1">SUM(G17:H17)</f>
        <v>0</v>
      </c>
      <c r="J17" s="424"/>
      <c r="K17" s="212"/>
      <c r="L17" s="391"/>
    </row>
    <row r="18" spans="2:12" x14ac:dyDescent="0.2">
      <c r="B18" s="436" t="s">
        <v>609</v>
      </c>
      <c r="C18" s="386"/>
      <c r="D18" s="420"/>
      <c r="E18" s="497">
        <v>200</v>
      </c>
      <c r="F18" s="421">
        <f t="shared" si="0"/>
        <v>200</v>
      </c>
      <c r="G18" s="502"/>
      <c r="H18" s="497"/>
      <c r="I18" s="493">
        <f t="shared" si="1"/>
        <v>0</v>
      </c>
      <c r="J18" s="424"/>
      <c r="K18" s="212"/>
      <c r="L18" s="391"/>
    </row>
    <row r="19" spans="2:12" x14ac:dyDescent="0.2">
      <c r="B19" s="436" t="s">
        <v>306</v>
      </c>
      <c r="C19" s="386"/>
      <c r="D19" s="420"/>
      <c r="E19" s="497"/>
      <c r="F19" s="421">
        <f t="shared" si="0"/>
        <v>0</v>
      </c>
      <c r="G19" s="502"/>
      <c r="H19" s="497">
        <v>3489</v>
      </c>
      <c r="I19" s="493">
        <f t="shared" si="1"/>
        <v>3489</v>
      </c>
      <c r="J19" s="424"/>
      <c r="K19" s="212"/>
      <c r="L19" s="391"/>
    </row>
    <row r="20" spans="2:12" x14ac:dyDescent="0.2">
      <c r="B20" s="434"/>
      <c r="C20" s="386"/>
      <c r="D20" s="420"/>
      <c r="E20" s="497"/>
      <c r="F20" s="421"/>
      <c r="G20" s="502"/>
      <c r="H20" s="497"/>
      <c r="I20" s="493"/>
      <c r="J20" s="424"/>
      <c r="K20" s="212"/>
      <c r="L20" s="391"/>
    </row>
    <row r="21" spans="2:12" x14ac:dyDescent="0.2">
      <c r="B21" s="437" t="s">
        <v>602</v>
      </c>
      <c r="C21" s="410">
        <f>SUM(C13:C16)</f>
        <v>1064000</v>
      </c>
      <c r="D21" s="514">
        <f>SUM(D13:D16)</f>
        <v>0</v>
      </c>
      <c r="E21" s="515">
        <f>SUM(E13:E20)</f>
        <v>4203</v>
      </c>
      <c r="F21" s="421">
        <f>SUM(F13:F18)</f>
        <v>4203</v>
      </c>
      <c r="G21" s="514">
        <f>SUM(G13:G19)</f>
        <v>2100</v>
      </c>
      <c r="H21" s="515">
        <f>SUM(H13:H20)</f>
        <v>3489</v>
      </c>
      <c r="I21" s="421">
        <f>SUM(I13:I19)</f>
        <v>5589</v>
      </c>
      <c r="J21" s="424"/>
      <c r="K21" s="212"/>
      <c r="L21" s="391"/>
    </row>
    <row r="22" spans="2:12" ht="6" customHeight="1" x14ac:dyDescent="0.2">
      <c r="B22" s="438"/>
      <c r="C22" s="409"/>
      <c r="D22" s="491"/>
      <c r="E22" s="492"/>
      <c r="F22" s="516"/>
      <c r="G22" s="491"/>
      <c r="H22" s="492"/>
      <c r="I22" s="516"/>
      <c r="J22" s="424"/>
      <c r="K22" s="212"/>
      <c r="L22" s="391"/>
    </row>
    <row r="23" spans="2:12" x14ac:dyDescent="0.2">
      <c r="B23" s="434" t="s">
        <v>578</v>
      </c>
      <c r="C23" s="386">
        <v>800000</v>
      </c>
      <c r="D23" s="420">
        <v>160</v>
      </c>
      <c r="E23" s="497">
        <v>-560</v>
      </c>
      <c r="F23" s="421">
        <f t="shared" ref="F23:F29" si="2">SUM(D23:E23)</f>
        <v>-400</v>
      </c>
      <c r="G23" s="445">
        <v>0</v>
      </c>
      <c r="H23" s="503"/>
      <c r="I23" s="419">
        <f t="shared" ref="I23:I29" si="3">SUM(G23:H23)</f>
        <v>0</v>
      </c>
      <c r="J23" s="424" t="s">
        <v>577</v>
      </c>
      <c r="K23" s="212" t="s">
        <v>342</v>
      </c>
      <c r="L23" s="391" t="s">
        <v>518</v>
      </c>
    </row>
    <row r="24" spans="2:12" x14ac:dyDescent="0.2">
      <c r="B24" s="434" t="s">
        <v>519</v>
      </c>
      <c r="C24" s="386">
        <v>250000</v>
      </c>
      <c r="D24" s="420">
        <v>50</v>
      </c>
      <c r="E24" s="497">
        <v>150</v>
      </c>
      <c r="F24" s="421">
        <f t="shared" si="2"/>
        <v>200</v>
      </c>
      <c r="G24" s="502">
        <v>125</v>
      </c>
      <c r="H24" s="503">
        <v>125</v>
      </c>
      <c r="I24" s="493">
        <f t="shared" si="3"/>
        <v>250</v>
      </c>
      <c r="J24" s="424"/>
      <c r="K24" s="212" t="s">
        <v>342</v>
      </c>
      <c r="L24" s="391" t="s">
        <v>342</v>
      </c>
    </row>
    <row r="25" spans="2:12" x14ac:dyDescent="0.2">
      <c r="B25" s="434" t="s">
        <v>611</v>
      </c>
      <c r="C25" s="386"/>
      <c r="D25" s="420">
        <v>525</v>
      </c>
      <c r="E25" s="497">
        <v>0</v>
      </c>
      <c r="F25" s="421">
        <f t="shared" si="2"/>
        <v>525</v>
      </c>
      <c r="G25" s="502"/>
      <c r="H25" s="503"/>
      <c r="I25" s="493">
        <f t="shared" si="3"/>
        <v>0</v>
      </c>
      <c r="J25" s="424"/>
      <c r="K25" s="212"/>
      <c r="L25" s="391"/>
    </row>
    <row r="26" spans="2:12" x14ac:dyDescent="0.2">
      <c r="B26" s="434" t="s">
        <v>610</v>
      </c>
      <c r="C26" s="431"/>
      <c r="D26" s="420"/>
      <c r="E26" s="497">
        <v>115</v>
      </c>
      <c r="F26" s="421">
        <f t="shared" si="2"/>
        <v>115</v>
      </c>
      <c r="G26" s="502">
        <v>115</v>
      </c>
      <c r="H26" s="497"/>
      <c r="I26" s="421">
        <f>SUM(G26:H26)</f>
        <v>115</v>
      </c>
      <c r="J26" s="424"/>
      <c r="K26" s="212"/>
      <c r="L26" s="391"/>
    </row>
    <row r="27" spans="2:12" x14ac:dyDescent="0.2">
      <c r="B27" s="436" t="s">
        <v>515</v>
      </c>
      <c r="C27" s="387"/>
      <c r="D27" s="420"/>
      <c r="E27" s="497">
        <v>3505</v>
      </c>
      <c r="F27" s="421">
        <f t="shared" si="2"/>
        <v>3505</v>
      </c>
      <c r="G27" s="502"/>
      <c r="H27" s="497"/>
      <c r="I27" s="421">
        <f t="shared" si="3"/>
        <v>0</v>
      </c>
      <c r="J27" s="424"/>
      <c r="K27" s="212"/>
      <c r="L27" s="391"/>
    </row>
    <row r="28" spans="2:12" x14ac:dyDescent="0.2">
      <c r="B28" s="436" t="s">
        <v>535</v>
      </c>
      <c r="C28" s="387"/>
      <c r="D28" s="420"/>
      <c r="E28" s="497">
        <v>1070</v>
      </c>
      <c r="F28" s="421">
        <f t="shared" si="2"/>
        <v>1070</v>
      </c>
      <c r="G28" s="502"/>
      <c r="H28" s="497"/>
      <c r="I28" s="421">
        <f t="shared" si="3"/>
        <v>0</v>
      </c>
      <c r="J28" s="424"/>
      <c r="K28" s="212"/>
      <c r="L28" s="391"/>
    </row>
    <row r="29" spans="2:12" hidden="1" x14ac:dyDescent="0.2">
      <c r="B29" s="436" t="s">
        <v>614</v>
      </c>
      <c r="C29" s="387"/>
      <c r="D29" s="420"/>
      <c r="E29" s="478"/>
      <c r="F29" s="421">
        <f t="shared" si="2"/>
        <v>0</v>
      </c>
      <c r="G29" s="502"/>
      <c r="H29" s="497"/>
      <c r="I29" s="516">
        <f t="shared" si="3"/>
        <v>0</v>
      </c>
      <c r="J29" s="424"/>
      <c r="K29" s="212"/>
      <c r="L29" s="391"/>
    </row>
    <row r="30" spans="2:12" x14ac:dyDescent="0.2">
      <c r="B30" s="437" t="s">
        <v>611</v>
      </c>
      <c r="C30" s="410">
        <f>SUM(C27:C29)</f>
        <v>0</v>
      </c>
      <c r="D30" s="514">
        <f t="shared" ref="D30:I30" si="4">SUM(D23:D29)</f>
        <v>735</v>
      </c>
      <c r="E30" s="515">
        <f t="shared" si="4"/>
        <v>4280</v>
      </c>
      <c r="F30" s="421">
        <f t="shared" si="4"/>
        <v>5015</v>
      </c>
      <c r="G30" s="446">
        <f t="shared" si="4"/>
        <v>240</v>
      </c>
      <c r="H30" s="515">
        <f t="shared" si="4"/>
        <v>125</v>
      </c>
      <c r="I30" s="447">
        <f t="shared" si="4"/>
        <v>365</v>
      </c>
      <c r="J30" s="424"/>
      <c r="K30" s="212"/>
      <c r="L30" s="391"/>
    </row>
    <row r="31" spans="2:12" ht="7.5" customHeight="1" x14ac:dyDescent="0.2">
      <c r="B31" s="439"/>
      <c r="C31" s="409"/>
      <c r="D31" s="491"/>
      <c r="E31" s="492"/>
      <c r="F31" s="516"/>
      <c r="G31" s="491"/>
      <c r="H31" s="492"/>
      <c r="I31" s="516"/>
      <c r="J31" s="424"/>
      <c r="K31" s="212"/>
      <c r="L31" s="391"/>
    </row>
    <row r="32" spans="2:12" x14ac:dyDescent="0.2">
      <c r="B32" s="434" t="s">
        <v>579</v>
      </c>
      <c r="C32" s="386"/>
      <c r="D32" s="420">
        <v>75</v>
      </c>
      <c r="E32" s="497"/>
      <c r="F32" s="421">
        <f>SUM(D32:E32)</f>
        <v>75</v>
      </c>
      <c r="G32" s="444">
        <v>75</v>
      </c>
      <c r="H32" s="497"/>
      <c r="I32" s="421">
        <f>SUM(G32:H32)</f>
        <v>75</v>
      </c>
      <c r="J32" s="424" t="s">
        <v>580</v>
      </c>
      <c r="K32" s="212" t="s">
        <v>518</v>
      </c>
      <c r="L32" s="391" t="s">
        <v>518</v>
      </c>
    </row>
    <row r="33" spans="2:12" x14ac:dyDescent="0.2">
      <c r="B33" s="434" t="s">
        <v>571</v>
      </c>
      <c r="C33" s="386"/>
      <c r="D33" s="420">
        <v>50</v>
      </c>
      <c r="E33" s="497">
        <v>50</v>
      </c>
      <c r="F33" s="421">
        <f>SUM(D33:E33)</f>
        <v>100</v>
      </c>
      <c r="G33" s="502"/>
      <c r="H33" s="503"/>
      <c r="I33" s="493">
        <f t="shared" ref="I33" si="5">SUM(G33:H33)</f>
        <v>0</v>
      </c>
      <c r="J33" s="424" t="s">
        <v>572</v>
      </c>
      <c r="K33" s="212" t="s">
        <v>518</v>
      </c>
      <c r="L33" s="391" t="s">
        <v>518</v>
      </c>
    </row>
    <row r="34" spans="2:12" x14ac:dyDescent="0.2">
      <c r="B34" s="437" t="s">
        <v>603</v>
      </c>
      <c r="C34" s="410">
        <f>SUM(C23:C33)</f>
        <v>1050000</v>
      </c>
      <c r="D34" s="517">
        <f t="shared" ref="D34:I34" si="6">SUM(D32:D33)</f>
        <v>125</v>
      </c>
      <c r="E34" s="518">
        <f t="shared" si="6"/>
        <v>50</v>
      </c>
      <c r="F34" s="493">
        <f t="shared" si="6"/>
        <v>175</v>
      </c>
      <c r="G34" s="517">
        <f t="shared" si="6"/>
        <v>75</v>
      </c>
      <c r="H34" s="518">
        <f t="shared" si="6"/>
        <v>0</v>
      </c>
      <c r="I34" s="493">
        <f t="shared" si="6"/>
        <v>75</v>
      </c>
      <c r="J34" s="424"/>
      <c r="K34" s="212"/>
      <c r="L34" s="391"/>
    </row>
    <row r="35" spans="2:12" customFormat="1" x14ac:dyDescent="0.2">
      <c r="B35" s="440" t="s">
        <v>605</v>
      </c>
      <c r="C35" s="432">
        <f>C34+C21</f>
        <v>2114000</v>
      </c>
      <c r="D35" s="510">
        <f t="shared" ref="D35:L35" si="7">D34+D21+D30</f>
        <v>860</v>
      </c>
      <c r="E35" s="519">
        <f t="shared" si="7"/>
        <v>8533</v>
      </c>
      <c r="F35" s="520">
        <f t="shared" si="7"/>
        <v>9393</v>
      </c>
      <c r="G35" s="510">
        <f t="shared" si="7"/>
        <v>2415</v>
      </c>
      <c r="H35" s="519">
        <f t="shared" si="7"/>
        <v>3614</v>
      </c>
      <c r="I35" s="520">
        <f t="shared" si="7"/>
        <v>6029</v>
      </c>
      <c r="J35">
        <f t="shared" si="7"/>
        <v>0</v>
      </c>
      <c r="K35">
        <f t="shared" si="7"/>
        <v>0</v>
      </c>
      <c r="L35">
        <f t="shared" si="7"/>
        <v>0</v>
      </c>
    </row>
    <row r="36" spans="2:12" customFormat="1" ht="6.75" customHeight="1" x14ac:dyDescent="0.2">
      <c r="B36" s="441"/>
      <c r="C36" s="415"/>
      <c r="D36" s="499"/>
      <c r="E36" s="500"/>
      <c r="F36" s="501"/>
      <c r="G36" s="499"/>
      <c r="H36" s="500"/>
      <c r="I36" s="501"/>
    </row>
    <row r="37" spans="2:12" x14ac:dyDescent="0.2">
      <c r="B37" s="433" t="s">
        <v>581</v>
      </c>
      <c r="C37" s="430"/>
      <c r="D37" s="499"/>
      <c r="E37" s="500"/>
      <c r="F37" s="501"/>
      <c r="G37" s="499"/>
      <c r="H37" s="500"/>
      <c r="I37" s="501"/>
      <c r="J37" s="425"/>
      <c r="K37" s="382"/>
      <c r="L37" s="390"/>
    </row>
    <row r="38" spans="2:12" x14ac:dyDescent="0.2">
      <c r="B38" s="434" t="s">
        <v>582</v>
      </c>
      <c r="C38" s="386"/>
      <c r="D38" s="420">
        <v>300</v>
      </c>
      <c r="E38" s="497"/>
      <c r="F38" s="421">
        <f t="shared" ref="F38:F44" si="8">SUM(D38:E38)</f>
        <v>300</v>
      </c>
      <c r="G38" s="502">
        <v>400</v>
      </c>
      <c r="H38" s="503"/>
      <c r="I38" s="493">
        <f t="shared" ref="I38:I44" si="9">SUM(G38:H38)</f>
        <v>400</v>
      </c>
      <c r="J38" s="424" t="s">
        <v>583</v>
      </c>
      <c r="K38" s="212" t="s">
        <v>429</v>
      </c>
      <c r="L38" s="391" t="s">
        <v>429</v>
      </c>
    </row>
    <row r="39" spans="2:12" x14ac:dyDescent="0.2">
      <c r="B39" s="434" t="s">
        <v>589</v>
      </c>
      <c r="C39" s="386"/>
      <c r="D39" s="420">
        <v>300</v>
      </c>
      <c r="E39" s="497"/>
      <c r="F39" s="421">
        <f t="shared" si="8"/>
        <v>300</v>
      </c>
      <c r="G39" s="502"/>
      <c r="H39" s="503"/>
      <c r="I39" s="493">
        <f>SUM(G39:H39)</f>
        <v>0</v>
      </c>
      <c r="J39" s="424"/>
      <c r="K39" s="212" t="s">
        <v>428</v>
      </c>
      <c r="L39" s="391" t="s">
        <v>428</v>
      </c>
    </row>
    <row r="40" spans="2:12" x14ac:dyDescent="0.2">
      <c r="B40" s="434" t="s">
        <v>612</v>
      </c>
      <c r="C40" s="386"/>
      <c r="D40" s="420">
        <v>100</v>
      </c>
      <c r="E40" s="497"/>
      <c r="F40" s="421">
        <f t="shared" si="8"/>
        <v>100</v>
      </c>
      <c r="G40" s="502">
        <v>200</v>
      </c>
      <c r="H40" s="503"/>
      <c r="I40" s="493">
        <f>SUM(G40:H40)</f>
        <v>200</v>
      </c>
      <c r="J40" s="424"/>
      <c r="K40" s="212" t="s">
        <v>429</v>
      </c>
      <c r="L40" s="391" t="s">
        <v>429</v>
      </c>
    </row>
    <row r="41" spans="2:12" hidden="1" x14ac:dyDescent="0.2">
      <c r="B41" s="434" t="s">
        <v>596</v>
      </c>
      <c r="C41" s="387"/>
      <c r="D41" s="420"/>
      <c r="E41" s="497"/>
      <c r="F41" s="421">
        <f t="shared" si="8"/>
        <v>0</v>
      </c>
      <c r="G41" s="502"/>
      <c r="H41" s="497"/>
      <c r="I41" s="493">
        <f>SUM(G41:H41)</f>
        <v>0</v>
      </c>
      <c r="J41" s="428"/>
      <c r="K41" s="212" t="s">
        <v>428</v>
      </c>
      <c r="L41" s="392" t="s">
        <v>428</v>
      </c>
    </row>
    <row r="42" spans="2:12" x14ac:dyDescent="0.2">
      <c r="B42" s="434" t="s">
        <v>586</v>
      </c>
      <c r="C42" s="386"/>
      <c r="D42" s="420">
        <v>50</v>
      </c>
      <c r="E42" s="497"/>
      <c r="F42" s="421">
        <f t="shared" si="8"/>
        <v>50</v>
      </c>
      <c r="G42" s="502"/>
      <c r="H42" s="503"/>
      <c r="I42" s="493">
        <f>SUM(G42:H42)</f>
        <v>0</v>
      </c>
      <c r="J42" s="424" t="s">
        <v>587</v>
      </c>
      <c r="K42" s="212" t="s">
        <v>429</v>
      </c>
      <c r="L42" s="391" t="s">
        <v>429</v>
      </c>
    </row>
    <row r="43" spans="2:12" x14ac:dyDescent="0.2">
      <c r="B43" s="434" t="s">
        <v>584</v>
      </c>
      <c r="C43" s="386"/>
      <c r="D43" s="420"/>
      <c r="E43" s="497"/>
      <c r="F43" s="421">
        <f t="shared" si="8"/>
        <v>0</v>
      </c>
      <c r="G43" s="502">
        <v>500</v>
      </c>
      <c r="H43" s="503"/>
      <c r="I43" s="493">
        <f t="shared" si="9"/>
        <v>500</v>
      </c>
      <c r="J43" s="424" t="s">
        <v>585</v>
      </c>
      <c r="K43" s="212" t="s">
        <v>429</v>
      </c>
      <c r="L43" s="391" t="s">
        <v>429</v>
      </c>
    </row>
    <row r="44" spans="2:12" hidden="1" x14ac:dyDescent="0.2">
      <c r="B44" s="434" t="s">
        <v>588</v>
      </c>
      <c r="C44" s="386"/>
      <c r="D44" s="444"/>
      <c r="E44" s="497"/>
      <c r="F44" s="421">
        <f t="shared" si="8"/>
        <v>0</v>
      </c>
      <c r="G44" s="444"/>
      <c r="H44" s="497"/>
      <c r="I44" s="493">
        <f t="shared" si="9"/>
        <v>0</v>
      </c>
      <c r="J44" s="428"/>
      <c r="K44" s="213" t="s">
        <v>428</v>
      </c>
      <c r="L44" s="392" t="s">
        <v>428</v>
      </c>
    </row>
    <row r="45" spans="2:12" x14ac:dyDescent="0.2">
      <c r="B45" s="435" t="s">
        <v>606</v>
      </c>
      <c r="C45" s="412">
        <f t="shared" ref="C45:I45" si="10">SUM(C37:C44)</f>
        <v>0</v>
      </c>
      <c r="D45" s="504">
        <f t="shared" si="10"/>
        <v>750</v>
      </c>
      <c r="E45" s="505">
        <f t="shared" si="10"/>
        <v>0</v>
      </c>
      <c r="F45" s="506">
        <f t="shared" si="10"/>
        <v>750</v>
      </c>
      <c r="G45" s="504">
        <f t="shared" si="10"/>
        <v>1100</v>
      </c>
      <c r="H45" s="505">
        <f t="shared" si="10"/>
        <v>0</v>
      </c>
      <c r="I45" s="506">
        <f t="shared" si="10"/>
        <v>1100</v>
      </c>
      <c r="J45" s="424"/>
      <c r="K45" s="212"/>
      <c r="L45" s="391"/>
    </row>
    <row r="46" spans="2:12" ht="13.5" thickBot="1" x14ac:dyDescent="0.25">
      <c r="B46" s="442" t="s">
        <v>653</v>
      </c>
      <c r="C46" s="413" t="e">
        <f>C9+C45+C35+C6</f>
        <v>#REF!</v>
      </c>
      <c r="D46" s="521">
        <f>+D21+D30+D34+D45</f>
        <v>1610</v>
      </c>
      <c r="E46" s="522">
        <f>E9+E45+E35+E6</f>
        <v>8875</v>
      </c>
      <c r="F46" s="523">
        <f>+D46+E46</f>
        <v>10485</v>
      </c>
      <c r="G46" s="521">
        <f>+G21+G30+G34+G45</f>
        <v>3515</v>
      </c>
      <c r="H46" s="522">
        <f>+H21+H30+H34+H45</f>
        <v>3614</v>
      </c>
      <c r="I46" s="523">
        <f>+I21+I30+I34+I45</f>
        <v>7129</v>
      </c>
      <c r="J46" s="429"/>
      <c r="K46" s="382"/>
      <c r="L46" s="382"/>
    </row>
    <row r="47" spans="2:12" ht="13.5" hidden="1" thickBot="1" x14ac:dyDescent="0.25">
      <c r="B47" s="443" t="s">
        <v>590</v>
      </c>
      <c r="C47" s="413" t="e">
        <f>#REF!+C42+C46</f>
        <v>#REF!</v>
      </c>
      <c r="D47" s="252"/>
      <c r="E47" s="252"/>
      <c r="F47" s="252"/>
      <c r="G47" s="524" t="e">
        <f>D46+G46+#REF!</f>
        <v>#REF!</v>
      </c>
      <c r="H47" s="525" t="e">
        <f>E46+H46+#REF!</f>
        <v>#REF!</v>
      </c>
      <c r="I47" s="526" t="e">
        <f>SUM(D47:H47)</f>
        <v>#REF!</v>
      </c>
      <c r="J47" s="400"/>
    </row>
    <row r="48" spans="2:12" x14ac:dyDescent="0.2">
      <c r="B48" s="399"/>
      <c r="C48" s="389"/>
      <c r="D48" s="252"/>
      <c r="E48" s="252"/>
      <c r="F48" s="252"/>
      <c r="G48" s="527"/>
      <c r="H48" s="527"/>
      <c r="I48" s="527"/>
      <c r="J48" s="400"/>
    </row>
  </sheetData>
  <mergeCells count="9">
    <mergeCell ref="B2:B4"/>
    <mergeCell ref="G2:I2"/>
    <mergeCell ref="C2:C3"/>
    <mergeCell ref="D2:F2"/>
    <mergeCell ref="D3:D4"/>
    <mergeCell ref="G3:G4"/>
    <mergeCell ref="H3:H4"/>
    <mergeCell ref="I3:I4"/>
    <mergeCell ref="F3:F4"/>
  </mergeCells>
  <pageMargins left="0.7" right="0.7" top="0.75" bottom="0.75" header="0.3" footer="0.3"/>
  <pageSetup paperSize="9"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workbookViewId="0">
      <selection activeCell="C8" sqref="C8"/>
    </sheetView>
  </sheetViews>
  <sheetFormatPr defaultRowHeight="15" x14ac:dyDescent="0.25"/>
  <cols>
    <col min="1" max="3" width="44.7109375" style="543" customWidth="1"/>
    <col min="4" max="4" width="33.7109375" style="543" customWidth="1"/>
    <col min="5" max="14" width="9.140625" style="550"/>
    <col min="15" max="16384" width="9.140625" style="449"/>
  </cols>
  <sheetData>
    <row r="1" spans="1:3" ht="15.75" x14ac:dyDescent="0.25">
      <c r="A1" s="616" t="s">
        <v>733</v>
      </c>
      <c r="B1" s="616"/>
      <c r="C1" s="616"/>
    </row>
    <row r="2" spans="1:3" ht="8.25" customHeight="1" x14ac:dyDescent="0.25">
      <c r="A2" s="617"/>
      <c r="B2" s="618"/>
      <c r="C2" s="619"/>
    </row>
    <row r="3" spans="1:3" s="547" customFormat="1" ht="15.75" x14ac:dyDescent="0.25">
      <c r="A3" s="544" t="s">
        <v>684</v>
      </c>
      <c r="B3" s="545" t="s">
        <v>685</v>
      </c>
      <c r="C3" s="546" t="s">
        <v>686</v>
      </c>
    </row>
    <row r="4" spans="1:3" x14ac:dyDescent="0.25">
      <c r="A4" s="548" t="s">
        <v>687</v>
      </c>
      <c r="B4" s="548" t="s">
        <v>687</v>
      </c>
      <c r="C4" s="548" t="s">
        <v>687</v>
      </c>
    </row>
    <row r="5" spans="1:3" ht="81.75" customHeight="1" x14ac:dyDescent="0.25">
      <c r="A5" s="549" t="s">
        <v>688</v>
      </c>
      <c r="B5" s="549" t="s">
        <v>689</v>
      </c>
      <c r="C5" s="549" t="s">
        <v>690</v>
      </c>
    </row>
    <row r="6" spans="1:3" x14ac:dyDescent="0.25">
      <c r="A6" s="548" t="s">
        <v>691</v>
      </c>
      <c r="B6" s="548" t="s">
        <v>691</v>
      </c>
      <c r="C6" s="548" t="s">
        <v>691</v>
      </c>
    </row>
    <row r="7" spans="1:3" ht="68.25" customHeight="1" x14ac:dyDescent="0.25">
      <c r="A7" s="549" t="s">
        <v>692</v>
      </c>
      <c r="B7" s="549" t="s">
        <v>693</v>
      </c>
      <c r="C7" s="549" t="s">
        <v>734</v>
      </c>
    </row>
    <row r="8" spans="1:3" x14ac:dyDescent="0.25">
      <c r="A8" s="548" t="s">
        <v>694</v>
      </c>
      <c r="B8" s="548" t="s">
        <v>694</v>
      </c>
      <c r="C8" s="548" t="s">
        <v>694</v>
      </c>
    </row>
    <row r="9" spans="1:3" ht="120" customHeight="1" x14ac:dyDescent="0.25">
      <c r="A9" s="549" t="s">
        <v>695</v>
      </c>
      <c r="B9" s="549" t="s">
        <v>696</v>
      </c>
      <c r="C9" s="549" t="s">
        <v>697</v>
      </c>
    </row>
    <row r="10" spans="1:3" x14ac:dyDescent="0.25">
      <c r="A10" s="548" t="s">
        <v>698</v>
      </c>
      <c r="B10" s="548" t="s">
        <v>698</v>
      </c>
      <c r="C10" s="548" t="s">
        <v>698</v>
      </c>
    </row>
    <row r="11" spans="1:3" ht="55.5" customHeight="1" x14ac:dyDescent="0.25">
      <c r="A11" s="549" t="s">
        <v>699</v>
      </c>
      <c r="B11" s="549" t="s">
        <v>700</v>
      </c>
      <c r="C11" s="549" t="s">
        <v>701</v>
      </c>
    </row>
    <row r="12" spans="1:3" x14ac:dyDescent="0.25">
      <c r="A12" s="548" t="s">
        <v>702</v>
      </c>
      <c r="B12" s="548" t="s">
        <v>702</v>
      </c>
      <c r="C12" s="548" t="s">
        <v>702</v>
      </c>
    </row>
    <row r="13" spans="1:3" ht="48.75" customHeight="1" x14ac:dyDescent="0.25">
      <c r="A13" s="549" t="s">
        <v>703</v>
      </c>
      <c r="B13" s="549" t="s">
        <v>704</v>
      </c>
      <c r="C13" s="549" t="s">
        <v>705</v>
      </c>
    </row>
  </sheetData>
  <mergeCells count="2">
    <mergeCell ref="A1:C1"/>
    <mergeCell ref="A2:C2"/>
  </mergeCells>
  <pageMargins left="0.25" right="0.25"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workbookViewId="0">
      <selection activeCell="A2" sqref="A2:C2"/>
    </sheetView>
  </sheetViews>
  <sheetFormatPr defaultRowHeight="15" x14ac:dyDescent="0.25"/>
  <cols>
    <col min="1" max="3" width="44.7109375" style="543" customWidth="1"/>
    <col min="4" max="4" width="33.7109375" style="543" customWidth="1"/>
    <col min="5" max="13" width="9.140625" style="550"/>
    <col min="14" max="16384" width="9.140625" style="449"/>
  </cols>
  <sheetData>
    <row r="1" spans="1:3" ht="15.75" x14ac:dyDescent="0.25">
      <c r="A1" s="616" t="s">
        <v>732</v>
      </c>
      <c r="B1" s="616"/>
      <c r="C1" s="616"/>
    </row>
    <row r="2" spans="1:3" ht="8.25" customHeight="1" x14ac:dyDescent="0.25">
      <c r="A2" s="617"/>
      <c r="B2" s="618"/>
      <c r="C2" s="619"/>
    </row>
    <row r="3" spans="1:3" s="547" customFormat="1" ht="15.75" x14ac:dyDescent="0.25">
      <c r="A3" s="544" t="s">
        <v>684</v>
      </c>
      <c r="B3" s="545" t="s">
        <v>685</v>
      </c>
      <c r="C3" s="546" t="s">
        <v>686</v>
      </c>
    </row>
    <row r="4" spans="1:3" x14ac:dyDescent="0.25">
      <c r="A4" s="548" t="s">
        <v>706</v>
      </c>
      <c r="B4" s="548" t="s">
        <v>687</v>
      </c>
      <c r="C4" s="548" t="s">
        <v>687</v>
      </c>
    </row>
    <row r="5" spans="1:3" ht="150" customHeight="1" x14ac:dyDescent="0.25">
      <c r="A5" s="549" t="s">
        <v>707</v>
      </c>
      <c r="B5" s="549" t="s">
        <v>708</v>
      </c>
      <c r="C5" s="549" t="s">
        <v>709</v>
      </c>
    </row>
    <row r="6" spans="1:3" x14ac:dyDescent="0.25">
      <c r="A6" s="548" t="s">
        <v>288</v>
      </c>
      <c r="B6" s="548" t="s">
        <v>288</v>
      </c>
      <c r="C6" s="548" t="s">
        <v>691</v>
      </c>
    </row>
    <row r="7" spans="1:3" ht="46.5" customHeight="1" x14ac:dyDescent="0.25">
      <c r="A7" s="551" t="s">
        <v>710</v>
      </c>
      <c r="B7" s="549" t="s">
        <v>711</v>
      </c>
      <c r="C7" s="549" t="s">
        <v>712</v>
      </c>
    </row>
    <row r="8" spans="1:3" x14ac:dyDescent="0.25">
      <c r="A8" s="548" t="s">
        <v>287</v>
      </c>
      <c r="B8" s="548" t="s">
        <v>287</v>
      </c>
      <c r="C8" s="548" t="s">
        <v>713</v>
      </c>
    </row>
    <row r="9" spans="1:3" ht="39.75" customHeight="1" x14ac:dyDescent="0.25">
      <c r="A9" s="552">
        <v>2235000</v>
      </c>
      <c r="B9" s="552">
        <v>2235000</v>
      </c>
      <c r="C9" s="552">
        <v>2235000</v>
      </c>
    </row>
    <row r="14" spans="1:3" ht="20.25" customHeight="1" x14ac:dyDescent="0.25">
      <c r="B14" s="553"/>
    </row>
    <row r="15" spans="1:3" x14ac:dyDescent="0.25">
      <c r="B15" s="553"/>
    </row>
    <row r="16" spans="1:3" x14ac:dyDescent="0.25">
      <c r="B16" s="553"/>
    </row>
    <row r="17" spans="2:2" x14ac:dyDescent="0.25">
      <c r="B17" s="553"/>
    </row>
    <row r="18" spans="2:2" x14ac:dyDescent="0.25">
      <c r="B18" s="553"/>
    </row>
    <row r="19" spans="2:2" x14ac:dyDescent="0.25">
      <c r="B19" s="553"/>
    </row>
    <row r="20" spans="2:2" x14ac:dyDescent="0.25">
      <c r="B20" s="553"/>
    </row>
    <row r="21" spans="2:2" x14ac:dyDescent="0.25">
      <c r="B21" s="553"/>
    </row>
    <row r="22" spans="2:2" x14ac:dyDescent="0.25">
      <c r="B22" s="553"/>
    </row>
    <row r="23" spans="2:2" x14ac:dyDescent="0.25">
      <c r="B23" s="553"/>
    </row>
    <row r="24" spans="2:2" x14ac:dyDescent="0.25">
      <c r="B24" s="554"/>
    </row>
  </sheetData>
  <mergeCells count="2">
    <mergeCell ref="A1:C1"/>
    <mergeCell ref="A2:C2"/>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5"/>
  <sheetViews>
    <sheetView workbookViewId="0">
      <selection activeCell="B24" sqref="B24"/>
    </sheetView>
  </sheetViews>
  <sheetFormatPr defaultRowHeight="15" x14ac:dyDescent="0.25"/>
  <cols>
    <col min="1" max="1" width="60.5703125" style="449" customWidth="1"/>
    <col min="2" max="2" width="7.7109375" style="449" customWidth="1"/>
    <col min="3" max="3" width="13.5703125" style="449" customWidth="1"/>
    <col min="4" max="4" width="3.28515625" style="449" customWidth="1"/>
    <col min="5" max="5" width="14.42578125" style="449" customWidth="1"/>
    <col min="6" max="6" width="4.28515625" style="449" customWidth="1"/>
    <col min="7" max="7" width="11.140625" style="449" customWidth="1"/>
    <col min="8" max="8" width="10.5703125" style="449" customWidth="1"/>
    <col min="9" max="16384" width="9.140625" style="449"/>
  </cols>
  <sheetData>
    <row r="1" spans="1:6" x14ac:dyDescent="0.25">
      <c r="A1" s="620" t="s">
        <v>714</v>
      </c>
      <c r="B1" s="620"/>
      <c r="C1" s="620"/>
      <c r="D1" s="620"/>
      <c r="E1" s="557" t="s">
        <v>731</v>
      </c>
    </row>
    <row r="2" spans="1:6" x14ac:dyDescent="0.25">
      <c r="A2" s="555"/>
      <c r="B2" s="555"/>
      <c r="C2" s="555"/>
      <c r="D2" s="555"/>
    </row>
    <row r="3" spans="1:6" x14ac:dyDescent="0.25">
      <c r="A3" s="555"/>
      <c r="B3" s="555"/>
      <c r="C3" s="555"/>
      <c r="D3" s="555"/>
    </row>
    <row r="4" spans="1:6" x14ac:dyDescent="0.25">
      <c r="A4" s="555"/>
      <c r="B4" s="555"/>
      <c r="C4" s="555" t="s">
        <v>650</v>
      </c>
      <c r="D4" s="555"/>
      <c r="E4" s="569" t="s">
        <v>522</v>
      </c>
    </row>
    <row r="5" spans="1:6" x14ac:dyDescent="0.25">
      <c r="C5" s="556" t="s">
        <v>597</v>
      </c>
      <c r="E5" s="556" t="s">
        <v>598</v>
      </c>
    </row>
    <row r="6" spans="1:6" x14ac:dyDescent="0.25">
      <c r="A6" s="557" t="s">
        <v>715</v>
      </c>
      <c r="B6" s="557"/>
      <c r="C6" s="556" t="s">
        <v>541</v>
      </c>
      <c r="E6" s="556" t="s">
        <v>541</v>
      </c>
    </row>
    <row r="7" spans="1:6" x14ac:dyDescent="0.25">
      <c r="A7" s="449" t="s">
        <v>615</v>
      </c>
      <c r="C7" s="558">
        <v>1500</v>
      </c>
      <c r="E7" s="449">
        <v>1500</v>
      </c>
    </row>
    <row r="8" spans="1:6" x14ac:dyDescent="0.25">
      <c r="A8" s="449" t="s">
        <v>716</v>
      </c>
      <c r="C8" s="559">
        <v>3505</v>
      </c>
      <c r="E8" s="449">
        <v>0</v>
      </c>
    </row>
    <row r="9" spans="1:6" ht="15.75" thickBot="1" x14ac:dyDescent="0.3">
      <c r="A9" s="560" t="s">
        <v>717</v>
      </c>
      <c r="B9" s="557"/>
      <c r="C9" s="571">
        <f>SUM(C7:C8)</f>
        <v>5005</v>
      </c>
      <c r="E9" s="571">
        <f>SUM(E7:E8)</f>
        <v>1500</v>
      </c>
    </row>
    <row r="10" spans="1:6" ht="15.75" thickTop="1" x14ac:dyDescent="0.25"/>
    <row r="11" spans="1:6" x14ac:dyDescent="0.25">
      <c r="A11" s="557" t="s">
        <v>718</v>
      </c>
      <c r="B11" s="561"/>
    </row>
    <row r="12" spans="1:6" x14ac:dyDescent="0.25">
      <c r="A12" s="562" t="s">
        <v>719</v>
      </c>
      <c r="B12" s="556"/>
      <c r="C12" s="563">
        <v>1250</v>
      </c>
      <c r="E12" s="563">
        <v>1250</v>
      </c>
      <c r="F12" s="563"/>
    </row>
    <row r="13" spans="1:6" x14ac:dyDescent="0.25">
      <c r="A13" s="562" t="s">
        <v>720</v>
      </c>
      <c r="B13" s="564"/>
      <c r="C13" s="563">
        <v>1250</v>
      </c>
      <c r="E13" s="563">
        <v>1250</v>
      </c>
      <c r="F13" s="563"/>
    </row>
    <row r="14" spans="1:6" x14ac:dyDescent="0.25">
      <c r="A14" s="449" t="s">
        <v>721</v>
      </c>
      <c r="B14" s="565"/>
      <c r="C14" s="563">
        <v>1000</v>
      </c>
      <c r="E14" s="563">
        <v>1300</v>
      </c>
      <c r="F14" s="563"/>
    </row>
    <row r="15" spans="1:6" x14ac:dyDescent="0.25">
      <c r="A15" s="449" t="s">
        <v>722</v>
      </c>
      <c r="B15" s="566" t="s">
        <v>593</v>
      </c>
      <c r="C15" s="563">
        <v>1500</v>
      </c>
      <c r="E15" s="563">
        <v>0</v>
      </c>
      <c r="F15" s="563"/>
    </row>
    <row r="16" spans="1:6" x14ac:dyDescent="0.25">
      <c r="A16" s="449" t="s">
        <v>723</v>
      </c>
      <c r="B16" s="566" t="s">
        <v>593</v>
      </c>
      <c r="C16" s="563">
        <v>400</v>
      </c>
      <c r="E16" s="563">
        <v>0</v>
      </c>
      <c r="F16" s="563"/>
    </row>
    <row r="17" spans="1:6" x14ac:dyDescent="0.25">
      <c r="A17" s="449" t="s">
        <v>611</v>
      </c>
      <c r="B17" s="556"/>
      <c r="C17" s="563">
        <v>1000</v>
      </c>
      <c r="E17" s="563">
        <v>1000</v>
      </c>
      <c r="F17" s="563"/>
    </row>
    <row r="18" spans="1:6" x14ac:dyDescent="0.25">
      <c r="A18" s="449" t="s">
        <v>724</v>
      </c>
      <c r="B18" s="566" t="s">
        <v>593</v>
      </c>
      <c r="C18" s="563">
        <v>500</v>
      </c>
      <c r="E18" s="563">
        <v>500</v>
      </c>
      <c r="F18" s="563"/>
    </row>
    <row r="19" spans="1:6" x14ac:dyDescent="0.25">
      <c r="A19" s="449" t="s">
        <v>725</v>
      </c>
      <c r="B19" s="566" t="s">
        <v>593</v>
      </c>
      <c r="C19" s="563">
        <v>250</v>
      </c>
      <c r="E19" s="563">
        <v>0</v>
      </c>
      <c r="F19" s="563"/>
    </row>
    <row r="20" spans="1:6" ht="15.75" thickBot="1" x14ac:dyDescent="0.3">
      <c r="A20" s="560" t="s">
        <v>726</v>
      </c>
      <c r="B20" s="560"/>
      <c r="C20" s="571">
        <f>SUM(C12:C19)</f>
        <v>7150</v>
      </c>
      <c r="E20" s="571">
        <f>SUM(E12:E19)</f>
        <v>5300</v>
      </c>
      <c r="F20" s="563"/>
    </row>
    <row r="21" spans="1:6" ht="15.75" thickTop="1" x14ac:dyDescent="0.25">
      <c r="E21" s="563"/>
      <c r="F21" s="563"/>
    </row>
    <row r="22" spans="1:6" x14ac:dyDescent="0.25">
      <c r="A22" s="567" t="s">
        <v>730</v>
      </c>
      <c r="B22" s="567"/>
      <c r="C22" s="568">
        <f>C9-C20</f>
        <v>-2145</v>
      </c>
      <c r="E22" s="568">
        <f>E9-E20</f>
        <v>-3800</v>
      </c>
      <c r="F22" s="563"/>
    </row>
    <row r="23" spans="1:6" x14ac:dyDescent="0.25">
      <c r="E23" s="563"/>
      <c r="F23" s="563"/>
    </row>
    <row r="25" spans="1:6" x14ac:dyDescent="0.25">
      <c r="A25" s="570" t="s">
        <v>728</v>
      </c>
    </row>
  </sheetData>
  <mergeCells count="1">
    <mergeCell ref="A1:D1"/>
  </mergeCells>
  <pageMargins left="0.7" right="0.7" top="0.75" bottom="0.75" header="0.3" footer="0.3"/>
  <pageSetup paperSize="9" scale="8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1"/>
  <sheetViews>
    <sheetView workbookViewId="0">
      <selection activeCell="F22" sqref="F22"/>
    </sheetView>
  </sheetViews>
  <sheetFormatPr defaultRowHeight="15" x14ac:dyDescent="0.25"/>
  <cols>
    <col min="1" max="1" width="3.140625" style="449" customWidth="1"/>
    <col min="2" max="2" width="15.28515625" style="449" bestFit="1" customWidth="1"/>
    <col min="3" max="3" width="9.7109375" style="449" customWidth="1"/>
    <col min="4" max="4" width="10.42578125" style="449" customWidth="1"/>
    <col min="5" max="5" width="9.85546875" style="449" customWidth="1"/>
    <col min="6" max="6" width="10" style="449" customWidth="1"/>
    <col min="7" max="7" width="11" style="449" customWidth="1"/>
    <col min="8" max="8" width="3.140625" style="449" customWidth="1"/>
    <col min="9" max="9" width="15.28515625" style="449" bestFit="1" customWidth="1"/>
    <col min="10" max="10" width="8.7109375" style="449" bestFit="1" customWidth="1"/>
    <col min="11" max="11" width="9.5703125" style="449" bestFit="1" customWidth="1"/>
    <col min="12" max="14" width="8.7109375" style="449" bestFit="1" customWidth="1"/>
    <col min="15" max="15" width="9.5703125" style="449" bestFit="1" customWidth="1"/>
    <col min="16" max="16384" width="9.140625" style="449"/>
  </cols>
  <sheetData>
    <row r="1" spans="2:8" ht="15.75" x14ac:dyDescent="0.25">
      <c r="B1" s="528" t="s">
        <v>664</v>
      </c>
      <c r="G1" s="557" t="s">
        <v>729</v>
      </c>
    </row>
    <row r="2" spans="2:8" x14ac:dyDescent="0.25">
      <c r="B2" s="449" t="s">
        <v>668</v>
      </c>
    </row>
    <row r="4" spans="2:8" ht="15.75" customHeight="1" x14ac:dyDescent="0.25">
      <c r="B4" s="449" t="s">
        <v>683</v>
      </c>
    </row>
    <row r="5" spans="2:8" x14ac:dyDescent="0.25">
      <c r="B5" s="530" t="s">
        <v>669</v>
      </c>
      <c r="C5" s="529" t="s">
        <v>597</v>
      </c>
      <c r="D5" s="529" t="s">
        <v>598</v>
      </c>
      <c r="E5" s="529" t="s">
        <v>665</v>
      </c>
      <c r="F5" s="529" t="s">
        <v>666</v>
      </c>
      <c r="G5" s="529" t="s">
        <v>667</v>
      </c>
      <c r="H5" s="531"/>
    </row>
    <row r="6" spans="2:8" x14ac:dyDescent="0.25">
      <c r="B6" s="532"/>
      <c r="C6" s="533" t="s">
        <v>670</v>
      </c>
      <c r="D6" s="533" t="s">
        <v>670</v>
      </c>
      <c r="E6" s="533" t="s">
        <v>670</v>
      </c>
      <c r="F6" s="533" t="s">
        <v>670</v>
      </c>
      <c r="G6" s="533" t="s">
        <v>670</v>
      </c>
      <c r="H6" s="531"/>
    </row>
    <row r="7" spans="2:8" x14ac:dyDescent="0.25">
      <c r="B7" s="534" t="s">
        <v>671</v>
      </c>
      <c r="C7" s="535">
        <v>347.016062256429</v>
      </c>
      <c r="D7" s="535">
        <v>347.37190779563389</v>
      </c>
      <c r="E7" s="535">
        <v>347.70698007110332</v>
      </c>
      <c r="F7" s="535">
        <v>348.02249176762416</v>
      </c>
      <c r="G7" s="535">
        <v>348.31958477692388</v>
      </c>
      <c r="H7" s="531"/>
    </row>
    <row r="8" spans="2:8" x14ac:dyDescent="0.25">
      <c r="B8" s="534" t="s">
        <v>672</v>
      </c>
      <c r="C8" s="536">
        <v>3379.0927272727322</v>
      </c>
      <c r="D8" s="536">
        <v>4866.7575584415563</v>
      </c>
      <c r="E8" s="536">
        <v>2170.3650519480498</v>
      </c>
      <c r="F8" s="536">
        <v>2058.7901896103949</v>
      </c>
      <c r="G8" s="536">
        <v>2058.7901896103804</v>
      </c>
      <c r="H8" s="531"/>
    </row>
    <row r="9" spans="2:8" x14ac:dyDescent="0.25">
      <c r="B9" s="534" t="s">
        <v>673</v>
      </c>
      <c r="C9" s="536">
        <v>3346</v>
      </c>
      <c r="D9" s="536">
        <v>3824</v>
      </c>
      <c r="E9" s="536">
        <v>2390</v>
      </c>
      <c r="F9" s="536">
        <v>0</v>
      </c>
      <c r="G9" s="536">
        <v>0</v>
      </c>
      <c r="H9" s="531"/>
    </row>
    <row r="10" spans="2:8" x14ac:dyDescent="0.25">
      <c r="B10" s="534" t="s">
        <v>674</v>
      </c>
      <c r="C10" s="536">
        <v>4864.343308865049</v>
      </c>
      <c r="D10" s="536">
        <v>4864.3433088650636</v>
      </c>
      <c r="E10" s="536">
        <v>4864.3433088650345</v>
      </c>
      <c r="F10" s="536">
        <v>4864.343308865049</v>
      </c>
      <c r="G10" s="536">
        <v>4864.343308865049</v>
      </c>
      <c r="H10" s="531"/>
    </row>
    <row r="11" spans="2:8" x14ac:dyDescent="0.25">
      <c r="B11" s="534" t="s">
        <v>675</v>
      </c>
      <c r="C11" s="536">
        <v>22280.800000000003</v>
      </c>
      <c r="D11" s="536">
        <v>26764.809790209794</v>
      </c>
      <c r="E11" s="536">
        <v>15624.409790209793</v>
      </c>
      <c r="F11" s="536">
        <v>4484.0097902097914</v>
      </c>
      <c r="G11" s="536">
        <v>4484.0097902097914</v>
      </c>
      <c r="H11" s="531"/>
    </row>
    <row r="12" spans="2:8" x14ac:dyDescent="0.25">
      <c r="B12" s="537" t="s">
        <v>2</v>
      </c>
      <c r="C12" s="538">
        <v>34217.252098394209</v>
      </c>
      <c r="D12" s="538">
        <v>40667.282565312053</v>
      </c>
      <c r="E12" s="538">
        <v>25396.825131093981</v>
      </c>
      <c r="F12" s="538">
        <v>11755.165780452859</v>
      </c>
      <c r="G12" s="538">
        <v>11755.462873462144</v>
      </c>
      <c r="H12" s="531"/>
    </row>
    <row r="15" spans="2:8" x14ac:dyDescent="0.25">
      <c r="B15" s="449" t="s">
        <v>682</v>
      </c>
    </row>
    <row r="16" spans="2:8" x14ac:dyDescent="0.25">
      <c r="B16" s="530" t="s">
        <v>669</v>
      </c>
      <c r="C16" s="529" t="s">
        <v>597</v>
      </c>
      <c r="D16" s="529" t="s">
        <v>598</v>
      </c>
      <c r="E16" s="529" t="s">
        <v>665</v>
      </c>
      <c r="F16" s="529" t="s">
        <v>666</v>
      </c>
      <c r="G16" s="529" t="s">
        <v>667</v>
      </c>
    </row>
    <row r="17" spans="2:7" x14ac:dyDescent="0.25">
      <c r="B17" s="532"/>
      <c r="C17" s="533" t="s">
        <v>541</v>
      </c>
      <c r="D17" s="533" t="s">
        <v>541</v>
      </c>
      <c r="E17" s="533" t="s">
        <v>541</v>
      </c>
      <c r="F17" s="533" t="s">
        <v>541</v>
      </c>
      <c r="G17" s="533" t="s">
        <v>541</v>
      </c>
    </row>
    <row r="18" spans="2:7" x14ac:dyDescent="0.25">
      <c r="B18" s="534" t="s">
        <v>671</v>
      </c>
      <c r="C18" s="539">
        <v>390</v>
      </c>
      <c r="D18" s="539">
        <v>389</v>
      </c>
      <c r="E18" s="539">
        <v>388</v>
      </c>
      <c r="F18" s="539">
        <v>388</v>
      </c>
      <c r="G18" s="539">
        <v>387</v>
      </c>
    </row>
    <row r="19" spans="2:7" x14ac:dyDescent="0.25">
      <c r="B19" s="534" t="s">
        <v>672</v>
      </c>
      <c r="C19" s="540">
        <v>5487</v>
      </c>
      <c r="D19" s="540">
        <v>7769</v>
      </c>
      <c r="E19" s="540">
        <v>3410</v>
      </c>
      <c r="F19" s="540">
        <v>3186</v>
      </c>
      <c r="G19" s="540">
        <v>3142</v>
      </c>
    </row>
    <row r="20" spans="2:7" x14ac:dyDescent="0.25">
      <c r="B20" s="534" t="s">
        <v>673</v>
      </c>
      <c r="C20" s="540">
        <v>347</v>
      </c>
      <c r="D20" s="540">
        <v>398</v>
      </c>
      <c r="E20" s="540">
        <v>250</v>
      </c>
      <c r="F20" s="540">
        <v>0</v>
      </c>
      <c r="G20" s="540">
        <v>0</v>
      </c>
    </row>
    <row r="21" spans="2:7" x14ac:dyDescent="0.25">
      <c r="B21" s="534" t="s">
        <v>674</v>
      </c>
      <c r="C21" s="540">
        <v>449</v>
      </c>
      <c r="D21" s="540">
        <v>492</v>
      </c>
      <c r="E21" s="540">
        <v>489</v>
      </c>
      <c r="F21" s="540">
        <v>486</v>
      </c>
      <c r="G21" s="540">
        <v>484</v>
      </c>
    </row>
    <row r="22" spans="2:7" x14ac:dyDescent="0.25">
      <c r="B22" s="534" t="s">
        <v>675</v>
      </c>
      <c r="C22" s="540">
        <v>2221</v>
      </c>
      <c r="D22" s="540">
        <v>2660</v>
      </c>
      <c r="E22" s="540">
        <v>1548</v>
      </c>
      <c r="F22" s="540">
        <v>444</v>
      </c>
      <c r="G22" s="540">
        <v>444</v>
      </c>
    </row>
    <row r="23" spans="2:7" x14ac:dyDescent="0.25">
      <c r="B23" s="537" t="s">
        <v>2</v>
      </c>
      <c r="C23" s="541">
        <f>SUM(C18:C22)</f>
        <v>8894</v>
      </c>
      <c r="D23" s="541">
        <f>SUM(D18:D22)</f>
        <v>11708</v>
      </c>
      <c r="E23" s="541">
        <f>SUM(E18:E22)</f>
        <v>6085</v>
      </c>
      <c r="F23" s="541">
        <f>SUM(F18:F22)</f>
        <v>4504</v>
      </c>
      <c r="G23" s="541">
        <f>SUM(G18:G22)</f>
        <v>4457</v>
      </c>
    </row>
    <row r="25" spans="2:7" x14ac:dyDescent="0.25">
      <c r="B25" s="542" t="s">
        <v>676</v>
      </c>
    </row>
    <row r="27" spans="2:7" x14ac:dyDescent="0.25">
      <c r="B27" s="449" t="s">
        <v>677</v>
      </c>
    </row>
    <row r="28" spans="2:7" x14ac:dyDescent="0.25">
      <c r="B28" s="449" t="s">
        <v>678</v>
      </c>
    </row>
    <row r="29" spans="2:7" x14ac:dyDescent="0.25">
      <c r="B29" s="449" t="s">
        <v>679</v>
      </c>
    </row>
    <row r="30" spans="2:7" x14ac:dyDescent="0.25">
      <c r="B30" s="449" t="s">
        <v>680</v>
      </c>
    </row>
    <row r="31" spans="2:7" x14ac:dyDescent="0.25">
      <c r="B31" s="449" t="s">
        <v>681</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A294"/>
  <sheetViews>
    <sheetView topLeftCell="Z5" zoomScaleNormal="100" workbookViewId="0">
      <pane xSplit="3" ySplit="1" topLeftCell="AC79" activePane="bottomRight" state="frozen"/>
      <selection activeCell="Z5" sqref="Z5"/>
      <selection pane="topRight" activeCell="AC5" sqref="AC5"/>
      <selection pane="bottomLeft" activeCell="Z6" sqref="Z6"/>
      <selection pane="bottomRight" activeCell="C79" sqref="C79"/>
    </sheetView>
  </sheetViews>
  <sheetFormatPr defaultRowHeight="12.75" x14ac:dyDescent="0.2"/>
  <cols>
    <col min="1" max="1" width="19" style="38" bestFit="1" customWidth="1"/>
    <col min="2" max="2" width="37.140625" style="38" bestFit="1" customWidth="1"/>
    <col min="3" max="3" width="45.7109375" style="38" bestFit="1" customWidth="1"/>
    <col min="4" max="4" width="13.28515625" style="38" bestFit="1" customWidth="1"/>
    <col min="5" max="5" width="12.140625" style="33" customWidth="1"/>
    <col min="6" max="6" width="11.140625" style="38" bestFit="1" customWidth="1"/>
    <col min="7" max="7" width="10.28515625" style="38" bestFit="1" customWidth="1"/>
    <col min="8" max="8" width="12.7109375" style="38" bestFit="1" customWidth="1"/>
    <col min="9" max="9" width="13.7109375" style="38" bestFit="1" customWidth="1"/>
    <col min="10" max="10" width="11.28515625" style="38" bestFit="1" customWidth="1"/>
    <col min="11" max="11" width="11.28515625" style="114" bestFit="1" customWidth="1"/>
    <col min="12" max="12" width="13.7109375" style="38" bestFit="1" customWidth="1"/>
    <col min="13" max="13" width="11.140625" style="38" bestFit="1" customWidth="1"/>
    <col min="14" max="14" width="11.28515625" style="38" bestFit="1" customWidth="1"/>
    <col min="15" max="15" width="13.28515625" style="38" bestFit="1" customWidth="1"/>
    <col min="16" max="16" width="17.7109375" style="38" bestFit="1" customWidth="1"/>
    <col min="17" max="17" width="16.140625" style="38" bestFit="1" customWidth="1"/>
    <col min="18" max="18" width="17.85546875" style="38" customWidth="1"/>
    <col min="19" max="19" width="13.7109375" style="38" bestFit="1" customWidth="1"/>
    <col min="20" max="20" width="14" style="38" bestFit="1" customWidth="1"/>
    <col min="21" max="21" width="10.85546875" style="38" bestFit="1" customWidth="1"/>
    <col min="22" max="22" width="22.140625" style="38" bestFit="1" customWidth="1"/>
    <col min="23" max="23" width="5.28515625" style="38" bestFit="1" customWidth="1"/>
    <col min="24" max="24" width="3" style="38" bestFit="1" customWidth="1"/>
    <col min="25" max="25" width="12" style="38" bestFit="1" customWidth="1"/>
    <col min="26" max="26" width="18.28515625" style="38" bestFit="1" customWidth="1"/>
    <col min="27" max="27" width="21" style="38" bestFit="1" customWidth="1"/>
    <col min="28" max="28" width="19" style="38" bestFit="1" customWidth="1"/>
    <col min="29" max="29" width="10.28515625" style="11" bestFit="1" customWidth="1"/>
    <col min="30" max="30" width="10.28515625" style="16" bestFit="1" customWidth="1"/>
    <col min="31" max="31" width="13.85546875" style="11" customWidth="1"/>
    <col min="32" max="32" width="10.28515625" style="11" bestFit="1" customWidth="1"/>
    <col min="33" max="33" width="11.7109375" style="47" bestFit="1" customWidth="1"/>
    <col min="34" max="35" width="10.28515625" style="47" bestFit="1" customWidth="1"/>
    <col min="36" max="36" width="12.28515625" style="38" bestFit="1" customWidth="1"/>
    <col min="37" max="37" width="12.85546875" style="47" bestFit="1" customWidth="1"/>
    <col min="38" max="38" width="10.28515625" style="47" bestFit="1" customWidth="1"/>
    <col min="39" max="41" width="11.28515625" style="47" bestFit="1" customWidth="1"/>
    <col min="42" max="42" width="12.28515625" style="47" bestFit="1" customWidth="1"/>
    <col min="43" max="43" width="9.140625" style="38" bestFit="1" customWidth="1"/>
    <col min="44" max="44" width="12.7109375" style="38" bestFit="1" customWidth="1"/>
    <col min="45" max="45" width="10.28515625" style="38" bestFit="1" customWidth="1"/>
    <col min="46" max="46" width="8.7109375" style="38" bestFit="1" customWidth="1"/>
    <col min="47" max="47" width="12.28515625" style="38" bestFit="1" customWidth="1"/>
    <col min="48" max="48" width="9.28515625" style="38" bestFit="1" customWidth="1"/>
    <col min="49" max="49" width="11.28515625" style="38" bestFit="1" customWidth="1"/>
    <col min="50" max="50" width="3" style="38" bestFit="1" customWidth="1"/>
    <col min="51" max="51" width="12.28515625" style="38" bestFit="1" customWidth="1"/>
    <col min="52" max="52" width="14.85546875" style="38" customWidth="1"/>
    <col min="53" max="53" width="11.140625" style="38" bestFit="1" customWidth="1"/>
    <col min="54" max="55" width="10.28515625" style="38" bestFit="1" customWidth="1"/>
    <col min="56" max="56" width="12.28515625" style="38" bestFit="1" customWidth="1"/>
    <col min="57" max="57" width="10.28515625" style="38" bestFit="1" customWidth="1"/>
    <col min="58" max="58" width="13.85546875" style="38" bestFit="1" customWidth="1"/>
    <col min="59" max="59" width="11.28515625" style="38" bestFit="1" customWidth="1"/>
    <col min="60" max="60" width="13.7109375" style="38" bestFit="1" customWidth="1"/>
    <col min="61" max="61" width="12.7109375" style="38" bestFit="1" customWidth="1"/>
    <col min="62" max="62" width="9.5703125" style="38" bestFit="1" customWidth="1"/>
    <col min="63" max="63" width="8.7109375" style="38" bestFit="1" customWidth="1"/>
    <col min="64" max="64" width="12.28515625" style="38" bestFit="1" customWidth="1"/>
    <col min="65" max="65" width="11.140625" style="38" bestFit="1" customWidth="1"/>
    <col min="66" max="66" width="3" style="38" bestFit="1" customWidth="1"/>
    <col min="67" max="67" width="11.140625" style="38" bestFit="1" customWidth="1"/>
    <col min="68" max="68" width="9.5703125" style="38" bestFit="1" customWidth="1"/>
    <col min="69" max="69" width="10.85546875" style="38" bestFit="1" customWidth="1"/>
    <col min="70" max="70" width="10.28515625" style="38" bestFit="1" customWidth="1"/>
    <col min="71" max="71" width="9.140625" style="38" bestFit="1" customWidth="1"/>
    <col min="72" max="72" width="13.7109375" style="38" bestFit="1" customWidth="1"/>
    <col min="73" max="73" width="10.28515625" style="38" bestFit="1" customWidth="1"/>
    <col min="74" max="74" width="13.85546875" style="38" bestFit="1" customWidth="1"/>
    <col min="75" max="75" width="11.28515625" style="38" bestFit="1" customWidth="1"/>
    <col min="76" max="76" width="11.7109375" style="38" customWidth="1"/>
    <col min="77" max="77" width="12.140625" style="38" bestFit="1" customWidth="1"/>
    <col min="78" max="78" width="12.7109375" style="38" bestFit="1" customWidth="1"/>
    <col min="79" max="79" width="9.5703125" style="38" bestFit="1" customWidth="1"/>
    <col min="80" max="80" width="10.28515625" style="38" bestFit="1" customWidth="1"/>
    <col min="81" max="81" width="12.28515625" style="38" bestFit="1" customWidth="1"/>
    <col min="82" max="82" width="11.28515625" style="38" bestFit="1" customWidth="1"/>
    <col min="83" max="83" width="3" style="38" bestFit="1" customWidth="1"/>
    <col min="84" max="84" width="11.140625" style="38" bestFit="1" customWidth="1"/>
    <col min="85" max="85" width="9.5703125" style="38" bestFit="1" customWidth="1"/>
    <col min="86" max="86" width="10.85546875" style="38" bestFit="1" customWidth="1"/>
    <col min="87" max="87" width="10.28515625" style="38" bestFit="1" customWidth="1"/>
    <col min="88" max="88" width="9.140625" style="38" bestFit="1" customWidth="1"/>
    <col min="89" max="89" width="12.28515625" style="38" bestFit="1" customWidth="1"/>
    <col min="90" max="90" width="10.28515625" style="38" bestFit="1" customWidth="1"/>
    <col min="91" max="91" width="13.85546875" style="38" bestFit="1" customWidth="1"/>
    <col min="92" max="92" width="10.28515625" style="38" bestFit="1" customWidth="1"/>
    <col min="93" max="93" width="12.140625" style="38" bestFit="1" customWidth="1"/>
    <col min="94" max="94" width="12.7109375" style="38" customWidth="1"/>
    <col min="95" max="95" width="9.5703125" style="38" bestFit="1" customWidth="1"/>
    <col min="96" max="96" width="9.140625" style="38" bestFit="1" customWidth="1"/>
    <col min="97" max="97" width="12.28515625" style="38" bestFit="1" customWidth="1"/>
    <col min="98" max="98" width="11.140625" style="38" bestFit="1" customWidth="1"/>
    <col min="99" max="99" width="3" style="38" bestFit="1" customWidth="1"/>
    <col min="100" max="100" width="11.140625" style="38" bestFit="1" customWidth="1"/>
    <col min="101" max="101" width="9.5703125" style="38" bestFit="1" customWidth="1"/>
    <col min="102" max="102" width="10.85546875" style="38" bestFit="1" customWidth="1"/>
    <col min="103" max="103" width="10.28515625" style="38" bestFit="1" customWidth="1"/>
    <col min="104" max="104" width="9.140625" style="38" bestFit="1" customWidth="1"/>
    <col min="105" max="105" width="12.28515625" style="38" bestFit="1" customWidth="1"/>
    <col min="106" max="106" width="10.28515625" style="38" bestFit="1" customWidth="1"/>
    <col min="107" max="107" width="13.85546875" style="38" bestFit="1" customWidth="1"/>
    <col min="108" max="108" width="10.28515625" style="38" bestFit="1" customWidth="1"/>
    <col min="109" max="109" width="12.140625" style="38" bestFit="1" customWidth="1"/>
    <col min="110" max="110" width="12.7109375" style="38" bestFit="1" customWidth="1"/>
    <col min="111" max="111" width="9.5703125" style="38" bestFit="1" customWidth="1"/>
    <col min="112" max="112" width="9.140625" style="38" bestFit="1" customWidth="1"/>
    <col min="113" max="113" width="12.28515625" style="38" bestFit="1" customWidth="1"/>
    <col min="114" max="114" width="11.140625" style="38" bestFit="1" customWidth="1"/>
    <col min="115" max="115" width="3" style="38" bestFit="1" customWidth="1"/>
    <col min="116" max="116" width="15.140625" style="38" customWidth="1"/>
    <col min="117" max="117" width="9.5703125" style="38" bestFit="1" customWidth="1"/>
    <col min="118" max="118" width="10.85546875" style="38" bestFit="1" customWidth="1"/>
    <col min="119" max="119" width="10.28515625" style="38" bestFit="1" customWidth="1"/>
    <col min="120" max="120" width="9.140625" style="38" bestFit="1" customWidth="1"/>
    <col min="121" max="121" width="12.28515625" style="38" bestFit="1" customWidth="1"/>
    <col min="122" max="122" width="10.28515625" style="38" bestFit="1" customWidth="1"/>
    <col min="123" max="123" width="13.85546875" style="38" bestFit="1" customWidth="1"/>
    <col min="124" max="124" width="10.28515625" style="38" bestFit="1" customWidth="1"/>
    <col min="125" max="125" width="11.140625" style="38" bestFit="1" customWidth="1"/>
    <col min="126" max="126" width="12.7109375" style="38" bestFit="1" customWidth="1"/>
    <col min="127" max="127" width="7.140625" style="38" bestFit="1" customWidth="1"/>
    <col min="128" max="128" width="8" style="38" bestFit="1" customWidth="1"/>
    <col min="129" max="129" width="12.28515625" style="38" bestFit="1" customWidth="1"/>
    <col min="130" max="130" width="11.140625" style="38" bestFit="1" customWidth="1"/>
    <col min="131" max="131" width="3" style="38" bestFit="1" customWidth="1"/>
    <col min="132" max="16384" width="9.140625" style="38"/>
  </cols>
  <sheetData>
    <row r="1" spans="1:131" x14ac:dyDescent="0.2">
      <c r="E1" s="11"/>
      <c r="F1" s="11"/>
      <c r="G1" s="11"/>
      <c r="H1" s="11"/>
      <c r="I1" s="11"/>
      <c r="J1" s="11"/>
      <c r="K1" s="104"/>
      <c r="L1" s="11"/>
      <c r="M1" s="11"/>
      <c r="N1" s="11"/>
      <c r="O1" s="11"/>
      <c r="P1" s="11"/>
      <c r="Q1" s="11"/>
      <c r="R1" s="11"/>
      <c r="S1" s="11"/>
      <c r="T1" s="11"/>
      <c r="U1" s="11"/>
      <c r="V1" s="11"/>
      <c r="W1" s="11"/>
      <c r="X1" s="11"/>
      <c r="Y1" s="11"/>
      <c r="Z1" s="11"/>
      <c r="AA1" s="11"/>
      <c r="AB1" s="11"/>
      <c r="AD1" s="11"/>
      <c r="AG1" s="11"/>
      <c r="AH1" s="11"/>
      <c r="AI1" s="11"/>
      <c r="AJ1" s="11"/>
      <c r="AK1" s="11"/>
      <c r="AL1" s="11"/>
      <c r="AM1" s="11"/>
      <c r="AN1" s="11"/>
      <c r="AO1" s="11"/>
      <c r="AP1" s="11"/>
      <c r="AQ1" s="11"/>
      <c r="AR1" s="11"/>
      <c r="AS1" s="11"/>
      <c r="AT1" s="11"/>
      <c r="AU1" s="11"/>
      <c r="AV1" s="11"/>
      <c r="AW1" s="11"/>
      <c r="AX1" s="11"/>
    </row>
    <row r="2" spans="1:131" x14ac:dyDescent="0.2">
      <c r="F2" s="33"/>
      <c r="G2" s="33"/>
      <c r="H2" s="33"/>
      <c r="I2" s="33"/>
      <c r="J2" s="33"/>
      <c r="K2" s="105"/>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row>
    <row r="3" spans="1:131" x14ac:dyDescent="0.2">
      <c r="E3" s="31"/>
      <c r="F3" s="31"/>
      <c r="G3" s="31"/>
      <c r="H3" s="31"/>
      <c r="I3" s="31"/>
      <c r="J3" s="31"/>
      <c r="K3" s="106"/>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row>
    <row r="4" spans="1:131" x14ac:dyDescent="0.2">
      <c r="E4" s="31"/>
      <c r="F4" s="31"/>
      <c r="G4" s="31"/>
      <c r="H4" s="31"/>
      <c r="I4" s="31"/>
      <c r="J4" s="31"/>
      <c r="K4" s="106"/>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148" t="s">
        <v>386</v>
      </c>
      <c r="AQ4" s="621" t="s">
        <v>387</v>
      </c>
      <c r="AR4" s="621"/>
      <c r="AS4" s="621"/>
      <c r="AT4" s="621"/>
      <c r="AU4" s="621"/>
      <c r="AV4" s="621"/>
      <c r="AW4" s="177" t="s">
        <v>388</v>
      </c>
      <c r="AX4" s="66"/>
      <c r="AY4" s="160"/>
      <c r="AZ4" s="160"/>
      <c r="BA4" s="160"/>
      <c r="BB4" s="160"/>
      <c r="BC4" s="160"/>
      <c r="BD4" s="160"/>
      <c r="BE4" s="160"/>
      <c r="BF4" s="160"/>
      <c r="BG4" s="160"/>
      <c r="BH4" s="160" t="s">
        <v>386</v>
      </c>
      <c r="BI4" s="622" t="s">
        <v>387</v>
      </c>
      <c r="BJ4" s="622"/>
      <c r="BK4" s="622"/>
      <c r="BL4" s="622"/>
      <c r="BM4" s="178" t="s">
        <v>388</v>
      </c>
      <c r="BN4" s="66"/>
      <c r="BO4" s="160"/>
      <c r="BP4" s="160"/>
      <c r="BQ4" s="160"/>
      <c r="BR4" s="160"/>
      <c r="BS4" s="160"/>
      <c r="BT4" s="160"/>
      <c r="BU4" s="160"/>
      <c r="BV4" s="160"/>
      <c r="BW4" s="160"/>
      <c r="BX4" s="160"/>
      <c r="BY4" s="160" t="s">
        <v>386</v>
      </c>
      <c r="BZ4" s="622" t="s">
        <v>387</v>
      </c>
      <c r="CA4" s="622"/>
      <c r="CB4" s="622"/>
      <c r="CC4" s="622"/>
      <c r="CD4" s="178" t="s">
        <v>388</v>
      </c>
      <c r="CE4" s="66"/>
      <c r="CF4" s="160"/>
      <c r="CG4" s="160"/>
      <c r="CH4" s="160"/>
      <c r="CI4" s="160"/>
      <c r="CJ4" s="160"/>
      <c r="CK4" s="160"/>
      <c r="CL4" s="160"/>
      <c r="CM4" s="160"/>
      <c r="CN4" s="160"/>
      <c r="CO4" s="160" t="s">
        <v>386</v>
      </c>
      <c r="CP4" s="622" t="s">
        <v>387</v>
      </c>
      <c r="CQ4" s="622"/>
      <c r="CR4" s="622"/>
      <c r="CS4" s="622"/>
      <c r="CT4" s="178" t="s">
        <v>388</v>
      </c>
      <c r="CU4" s="161"/>
      <c r="CV4" s="160"/>
      <c r="CW4" s="160"/>
      <c r="CX4" s="160"/>
      <c r="CY4" s="160"/>
      <c r="CZ4" s="160"/>
      <c r="DA4" s="160"/>
      <c r="DB4" s="160"/>
      <c r="DC4" s="160"/>
      <c r="DD4" s="160"/>
      <c r="DE4" s="160" t="s">
        <v>386</v>
      </c>
      <c r="DF4" s="622" t="s">
        <v>387</v>
      </c>
      <c r="DG4" s="622"/>
      <c r="DH4" s="622"/>
      <c r="DI4" s="622"/>
      <c r="DJ4" s="178" t="s">
        <v>388</v>
      </c>
      <c r="DK4" s="66"/>
    </row>
    <row r="5" spans="1:131" s="178" customFormat="1" ht="38.25" x14ac:dyDescent="0.2">
      <c r="A5" s="178" t="s">
        <v>370</v>
      </c>
      <c r="B5" s="174" t="s">
        <v>0</v>
      </c>
      <c r="C5" s="174" t="s">
        <v>1</v>
      </c>
      <c r="D5" s="174" t="s">
        <v>326</v>
      </c>
      <c r="E5" s="6" t="s">
        <v>2</v>
      </c>
      <c r="F5" s="7" t="s">
        <v>303</v>
      </c>
      <c r="G5" s="7" t="s">
        <v>348</v>
      </c>
      <c r="H5" s="7" t="s">
        <v>318</v>
      </c>
      <c r="I5" s="7" t="s">
        <v>293</v>
      </c>
      <c r="J5" s="7" t="s">
        <v>3</v>
      </c>
      <c r="K5" s="5" t="s">
        <v>319</v>
      </c>
      <c r="L5" s="7" t="s">
        <v>4</v>
      </c>
      <c r="M5" s="7" t="s">
        <v>5</v>
      </c>
      <c r="N5" s="7" t="s">
        <v>6</v>
      </c>
      <c r="O5" s="7" t="s">
        <v>292</v>
      </c>
      <c r="P5" s="7" t="s">
        <v>301</v>
      </c>
      <c r="Q5" s="7" t="s">
        <v>305</v>
      </c>
      <c r="R5" s="7" t="s">
        <v>308</v>
      </c>
      <c r="S5" s="7" t="s">
        <v>296</v>
      </c>
      <c r="T5" s="8" t="s">
        <v>294</v>
      </c>
      <c r="U5" s="30" t="s">
        <v>313</v>
      </c>
      <c r="V5" s="8" t="s">
        <v>315</v>
      </c>
      <c r="W5" s="178" t="s">
        <v>312</v>
      </c>
      <c r="X5" s="178" t="s">
        <v>369</v>
      </c>
      <c r="Y5" s="28" t="s">
        <v>421</v>
      </c>
      <c r="Z5" s="28" t="s">
        <v>427</v>
      </c>
      <c r="AA5" s="5" t="s">
        <v>278</v>
      </c>
      <c r="AB5" s="5" t="s">
        <v>512</v>
      </c>
      <c r="AC5" s="9" t="s">
        <v>297</v>
      </c>
      <c r="AD5" s="12" t="s">
        <v>279</v>
      </c>
      <c r="AE5" s="9" t="s">
        <v>280</v>
      </c>
      <c r="AF5" s="9" t="s">
        <v>281</v>
      </c>
      <c r="AG5" s="9" t="s">
        <v>306</v>
      </c>
      <c r="AH5" s="9" t="s">
        <v>308</v>
      </c>
      <c r="AI5" s="9" t="s">
        <v>295</v>
      </c>
      <c r="AJ5" s="7" t="s">
        <v>287</v>
      </c>
      <c r="AK5" s="9" t="s">
        <v>289</v>
      </c>
      <c r="AL5" s="9" t="s">
        <v>288</v>
      </c>
      <c r="AM5" s="130" t="s">
        <v>357</v>
      </c>
      <c r="AN5" s="130" t="s">
        <v>358</v>
      </c>
      <c r="AO5" s="129" t="s">
        <v>364</v>
      </c>
      <c r="AP5" s="18" t="s">
        <v>307</v>
      </c>
      <c r="AQ5" s="178" t="s">
        <v>312</v>
      </c>
      <c r="AR5" s="178" t="s">
        <v>310</v>
      </c>
      <c r="AS5" s="28" t="s">
        <v>309</v>
      </c>
      <c r="AT5" s="178" t="s">
        <v>288</v>
      </c>
      <c r="AU5" s="178" t="s">
        <v>287</v>
      </c>
      <c r="AV5" s="178" t="s">
        <v>347</v>
      </c>
      <c r="AW5" s="29" t="s">
        <v>311</v>
      </c>
      <c r="AX5" s="175" t="s">
        <v>434</v>
      </c>
      <c r="AY5" s="149" t="s">
        <v>383</v>
      </c>
      <c r="AZ5" s="162" t="s">
        <v>411</v>
      </c>
      <c r="BA5" s="150" t="s">
        <v>384</v>
      </c>
      <c r="BB5" s="150" t="s">
        <v>399</v>
      </c>
      <c r="BC5" s="150" t="s">
        <v>400</v>
      </c>
      <c r="BD5" s="151" t="s">
        <v>402</v>
      </c>
      <c r="BE5" s="151" t="s">
        <v>407</v>
      </c>
      <c r="BF5" s="150" t="s">
        <v>401</v>
      </c>
      <c r="BG5" s="150" t="s">
        <v>288</v>
      </c>
      <c r="BH5" s="151" t="s">
        <v>385</v>
      </c>
      <c r="BI5" s="150" t="s">
        <v>310</v>
      </c>
      <c r="BJ5" s="151" t="s">
        <v>309</v>
      </c>
      <c r="BK5" s="150" t="s">
        <v>288</v>
      </c>
      <c r="BL5" s="150" t="s">
        <v>287</v>
      </c>
      <c r="BM5" s="151" t="s">
        <v>389</v>
      </c>
      <c r="BN5" s="175" t="s">
        <v>435</v>
      </c>
      <c r="BO5" s="152" t="s">
        <v>390</v>
      </c>
      <c r="BP5" s="163" t="s">
        <v>412</v>
      </c>
      <c r="BQ5" s="153" t="s">
        <v>384</v>
      </c>
      <c r="BR5" s="153" t="s">
        <v>399</v>
      </c>
      <c r="BS5" s="153" t="s">
        <v>400</v>
      </c>
      <c r="BT5" s="29" t="s">
        <v>402</v>
      </c>
      <c r="BU5" s="29" t="s">
        <v>407</v>
      </c>
      <c r="BV5" s="153" t="s">
        <v>401</v>
      </c>
      <c r="BW5" s="153" t="s">
        <v>288</v>
      </c>
      <c r="BX5" s="153" t="s">
        <v>444</v>
      </c>
      <c r="BY5" s="29" t="s">
        <v>391</v>
      </c>
      <c r="BZ5" s="153" t="s">
        <v>310</v>
      </c>
      <c r="CA5" s="29" t="s">
        <v>309</v>
      </c>
      <c r="CB5" s="153" t="s">
        <v>288</v>
      </c>
      <c r="CC5" s="153" t="s">
        <v>287</v>
      </c>
      <c r="CD5" s="29" t="s">
        <v>392</v>
      </c>
      <c r="CE5" s="175" t="s">
        <v>436</v>
      </c>
      <c r="CF5" s="154" t="s">
        <v>393</v>
      </c>
      <c r="CG5" s="164" t="s">
        <v>413</v>
      </c>
      <c r="CH5" s="155" t="s">
        <v>384</v>
      </c>
      <c r="CI5" s="155" t="s">
        <v>399</v>
      </c>
      <c r="CJ5" s="155" t="s">
        <v>400</v>
      </c>
      <c r="CK5" s="156" t="s">
        <v>402</v>
      </c>
      <c r="CL5" s="156" t="s">
        <v>407</v>
      </c>
      <c r="CM5" s="155" t="s">
        <v>401</v>
      </c>
      <c r="CN5" s="155" t="s">
        <v>288</v>
      </c>
      <c r="CO5" s="156" t="s">
        <v>394</v>
      </c>
      <c r="CP5" s="155" t="s">
        <v>310</v>
      </c>
      <c r="CQ5" s="156" t="s">
        <v>309</v>
      </c>
      <c r="CR5" s="155" t="s">
        <v>288</v>
      </c>
      <c r="CS5" s="155" t="s">
        <v>287</v>
      </c>
      <c r="CT5" s="156" t="s">
        <v>395</v>
      </c>
      <c r="CU5" s="175" t="s">
        <v>437</v>
      </c>
      <c r="CV5" s="157" t="s">
        <v>396</v>
      </c>
      <c r="CW5" s="165" t="s">
        <v>414</v>
      </c>
      <c r="CX5" s="158" t="s">
        <v>384</v>
      </c>
      <c r="CY5" s="158" t="s">
        <v>399</v>
      </c>
      <c r="CZ5" s="158" t="s">
        <v>400</v>
      </c>
      <c r="DA5" s="159" t="s">
        <v>402</v>
      </c>
      <c r="DB5" s="159" t="s">
        <v>407</v>
      </c>
      <c r="DC5" s="158" t="s">
        <v>401</v>
      </c>
      <c r="DD5" s="158" t="s">
        <v>288</v>
      </c>
      <c r="DE5" s="159" t="s">
        <v>397</v>
      </c>
      <c r="DF5" s="158" t="s">
        <v>310</v>
      </c>
      <c r="DG5" s="159" t="s">
        <v>309</v>
      </c>
      <c r="DH5" s="158" t="s">
        <v>288</v>
      </c>
      <c r="DI5" s="158" t="s">
        <v>287</v>
      </c>
      <c r="DJ5" s="159" t="s">
        <v>398</v>
      </c>
      <c r="DK5" s="175" t="s">
        <v>438</v>
      </c>
      <c r="DL5" s="182" t="s">
        <v>446</v>
      </c>
      <c r="DM5" s="183" t="s">
        <v>447</v>
      </c>
      <c r="DN5" s="184" t="s">
        <v>384</v>
      </c>
      <c r="DO5" s="184" t="s">
        <v>399</v>
      </c>
      <c r="DP5" s="184" t="s">
        <v>400</v>
      </c>
      <c r="DQ5" s="185" t="s">
        <v>402</v>
      </c>
      <c r="DR5" s="185" t="s">
        <v>407</v>
      </c>
      <c r="DS5" s="184" t="s">
        <v>401</v>
      </c>
      <c r="DT5" s="184" t="s">
        <v>288</v>
      </c>
      <c r="DU5" s="185" t="s">
        <v>450</v>
      </c>
      <c r="DV5" s="184" t="s">
        <v>310</v>
      </c>
      <c r="DW5" s="185" t="s">
        <v>309</v>
      </c>
      <c r="DX5" s="184" t="s">
        <v>288</v>
      </c>
      <c r="DY5" s="184" t="s">
        <v>287</v>
      </c>
      <c r="DZ5" s="185" t="s">
        <v>449</v>
      </c>
      <c r="EA5" s="175" t="s">
        <v>448</v>
      </c>
    </row>
    <row r="6" spans="1:131" x14ac:dyDescent="0.2">
      <c r="A6" s="38" t="s">
        <v>373</v>
      </c>
      <c r="B6" s="39" t="s">
        <v>57</v>
      </c>
      <c r="C6" s="39" t="s">
        <v>58</v>
      </c>
      <c r="D6" s="39"/>
      <c r="E6" s="40">
        <v>3121150</v>
      </c>
      <c r="F6" s="41"/>
      <c r="G6" s="41"/>
      <c r="H6" s="41"/>
      <c r="I6" s="41"/>
      <c r="J6" s="41"/>
      <c r="K6" s="51"/>
      <c r="L6" s="41"/>
      <c r="M6" s="41"/>
      <c r="N6" s="41"/>
      <c r="O6" s="41"/>
      <c r="P6" s="41"/>
      <c r="Q6" s="41"/>
      <c r="R6" s="41"/>
      <c r="S6" s="41">
        <f>SUM(E6:P6)/1.025*-0.025</f>
        <v>-76125.609756097576</v>
      </c>
      <c r="T6" s="42">
        <f t="shared" ref="T6:T37" si="0">SUM(E6:S6)</f>
        <v>3045024.3902439023</v>
      </c>
      <c r="U6" s="43"/>
      <c r="V6" s="140">
        <v>3045024.3902439023</v>
      </c>
      <c r="W6" s="142" t="s">
        <v>367</v>
      </c>
      <c r="X6" s="142">
        <v>6</v>
      </c>
      <c r="Y6" s="172" t="s">
        <v>424</v>
      </c>
      <c r="Z6" s="171" t="s">
        <v>428</v>
      </c>
      <c r="AA6" s="44" t="s">
        <v>282</v>
      </c>
      <c r="AB6" s="187" t="s">
        <v>456</v>
      </c>
      <c r="AC6" s="10">
        <f>+T6*0.025</f>
        <v>76125.609756097561</v>
      </c>
      <c r="AD6" s="13">
        <v>71786.45</v>
      </c>
      <c r="AE6" s="10"/>
      <c r="AF6" s="10"/>
      <c r="AG6" s="45"/>
      <c r="AH6" s="45"/>
      <c r="AI6" s="45">
        <f t="shared" ref="AI6:AI47" si="1">-T6*0.04</f>
        <v>-121800.97560975609</v>
      </c>
      <c r="AJ6" s="41"/>
      <c r="AK6" s="45"/>
      <c r="AL6" s="45"/>
      <c r="AN6" s="128">
        <v>-247966</v>
      </c>
      <c r="AO6" s="45"/>
      <c r="AP6" s="46">
        <f t="shared" ref="AP6:AP37" si="2">SUM(AC6:AO6)+V6</f>
        <v>2823169.4743902436</v>
      </c>
      <c r="AQ6" s="47"/>
      <c r="AW6" s="48">
        <f t="shared" ref="AW6:AW37" si="3">SUM(AP6:AV6)</f>
        <v>2823169.4743902436</v>
      </c>
      <c r="AX6" s="66"/>
      <c r="AY6" s="47">
        <f t="shared" ref="AY6:AY71" si="4">+AP6-AC6</f>
        <v>2747043.864634146</v>
      </c>
      <c r="AZ6" s="249">
        <f>400000+155000-145000</f>
        <v>410000</v>
      </c>
      <c r="BA6" s="47">
        <f>+((AY6+AZ6)*0.025)*0.85</f>
        <v>67087.182123475606</v>
      </c>
      <c r="BB6" s="47" t="e">
        <f>VLOOKUP($AA6,#REF!,3,0)*(+AY6+AZ6)</f>
        <v>#REF!</v>
      </c>
      <c r="BC6" s="47" t="e">
        <f>VLOOKUP($AB6,#REF!,3,0)*(+AY6+AZ6)</f>
        <v>#REF!</v>
      </c>
      <c r="BE6" s="47"/>
      <c r="BF6" s="47"/>
      <c r="BH6" s="47" t="e">
        <f t="shared" ref="BH6:BH37" si="5">SUM(AY6:BG6)</f>
        <v>#REF!</v>
      </c>
      <c r="BM6" s="47" t="e">
        <f>SUM(BH6:BL6)</f>
        <v>#REF!</v>
      </c>
      <c r="BN6" s="66"/>
      <c r="BO6" s="47" t="e">
        <f t="shared" ref="BO6:BO71" si="6">+BH6-BA6</f>
        <v>#REF!</v>
      </c>
      <c r="BP6" s="47"/>
      <c r="BQ6" s="47" t="e">
        <f>+((BO6+BP6)*0.025)*0.85</f>
        <v>#REF!</v>
      </c>
      <c r="BR6" s="47" t="e">
        <f>VLOOKUP($AA6,#REF!,4,0)*(+BO6+BP6)</f>
        <v>#REF!</v>
      </c>
      <c r="BS6" s="47" t="e">
        <f>VLOOKUP($AB6,#REF!,4,0)*(+BO6+BP6)</f>
        <v>#REF!</v>
      </c>
      <c r="BV6" s="47"/>
      <c r="BY6" s="47" t="e">
        <f>SUM(BO6:BX6)</f>
        <v>#REF!</v>
      </c>
      <c r="CD6" s="47" t="e">
        <f t="shared" ref="CD6:CD37" si="7">SUM(BY6:CC6)</f>
        <v>#REF!</v>
      </c>
      <c r="CE6" s="66"/>
      <c r="CF6" s="47" t="e">
        <f t="shared" ref="CF6:CF71" si="8">+BY6-BQ6</f>
        <v>#REF!</v>
      </c>
      <c r="CG6" s="47"/>
      <c r="CH6" s="47" t="e">
        <f>+((CF6+CG6)*0.025)*0.85</f>
        <v>#REF!</v>
      </c>
      <c r="CI6" s="47" t="e">
        <f>VLOOKUP($AA6,#REF!,5,0)*(+CF6+CG6)</f>
        <v>#REF!</v>
      </c>
      <c r="CJ6" s="47" t="e">
        <f>VLOOKUP($AB6,#REF!,5,0)*(+CF6+CG6)</f>
        <v>#REF!</v>
      </c>
      <c r="CM6" s="47"/>
      <c r="CO6" s="47" t="e">
        <f t="shared" ref="CO6:CO37" si="9">SUM(CF6:CN6)</f>
        <v>#REF!</v>
      </c>
      <c r="CT6" s="47" t="e">
        <f t="shared" ref="CT6:CT37" si="10">SUM(CO6:CS6)</f>
        <v>#REF!</v>
      </c>
      <c r="CU6" s="66"/>
      <c r="CV6" s="47" t="e">
        <f t="shared" ref="CV6:CV71" si="11">+CO6-CH6</f>
        <v>#REF!</v>
      </c>
      <c r="CW6" s="47"/>
      <c r="CX6" s="47" t="e">
        <f>+((CV6+CW6)*0.025)*0.85</f>
        <v>#REF!</v>
      </c>
      <c r="CY6" s="47" t="e">
        <f>VLOOKUP($AA6,#REF!,6,0)*(+CV6+CW6)</f>
        <v>#REF!</v>
      </c>
      <c r="CZ6" s="47" t="e">
        <f>VLOOKUP($AB6,#REF!,6,0)*(+CV6+CW6)</f>
        <v>#REF!</v>
      </c>
      <c r="DC6" s="47"/>
      <c r="DE6" s="47" t="e">
        <f t="shared" ref="DE6:DE37" si="12">SUM(CV6:DD6)</f>
        <v>#REF!</v>
      </c>
      <c r="DJ6" s="47" t="e">
        <f t="shared" ref="DJ6:DJ37" si="13">SUM(DE6:DI6)</f>
        <v>#REF!</v>
      </c>
      <c r="DK6" s="66"/>
      <c r="DL6" s="47" t="e">
        <f t="shared" ref="DL6:DL55" si="14">+DE6-CX6</f>
        <v>#REF!</v>
      </c>
      <c r="DM6" s="47"/>
      <c r="DN6" s="47" t="e">
        <f>+((DL6+DM6)*0.025)*0.85</f>
        <v>#REF!</v>
      </c>
      <c r="DO6" s="47" t="e">
        <f>VLOOKUP($AA6,#REF!,7,0)*(+DL6+DM6)</f>
        <v>#REF!</v>
      </c>
      <c r="DP6" s="47" t="e">
        <f>VLOOKUP($AB6,#REF!,7,0)*(+DL6+DM6)</f>
        <v>#REF!</v>
      </c>
      <c r="DS6" s="47"/>
      <c r="DU6" s="47" t="e">
        <f t="shared" ref="DU6:DU37" si="15">SUM(DL6:DT6)</f>
        <v>#REF!</v>
      </c>
      <c r="DZ6" s="47" t="e">
        <f t="shared" ref="DZ6:DZ37" si="16">SUM(DU6:DY6)</f>
        <v>#REF!</v>
      </c>
      <c r="EA6" s="66"/>
    </row>
    <row r="7" spans="1:131" x14ac:dyDescent="0.2">
      <c r="A7" s="38" t="s">
        <v>373</v>
      </c>
      <c r="B7" s="39" t="s">
        <v>59</v>
      </c>
      <c r="C7" s="39" t="s">
        <v>60</v>
      </c>
      <c r="D7" s="39"/>
      <c r="E7" s="40">
        <v>18944</v>
      </c>
      <c r="F7" s="41"/>
      <c r="G7" s="41"/>
      <c r="H7" s="41"/>
      <c r="I7" s="41"/>
      <c r="J7" s="41"/>
      <c r="K7" s="51"/>
      <c r="L7" s="41"/>
      <c r="M7" s="41"/>
      <c r="N7" s="41"/>
      <c r="O7" s="41"/>
      <c r="P7" s="41"/>
      <c r="Q7" s="41"/>
      <c r="R7" s="41"/>
      <c r="S7" s="41"/>
      <c r="T7" s="42">
        <f t="shared" si="0"/>
        <v>18944</v>
      </c>
      <c r="U7" s="43"/>
      <c r="V7" s="140">
        <v>18944</v>
      </c>
      <c r="W7" s="142" t="s">
        <v>367</v>
      </c>
      <c r="X7" s="142">
        <v>6</v>
      </c>
      <c r="Y7" s="171" t="s">
        <v>423</v>
      </c>
      <c r="Z7" s="171" t="s">
        <v>428</v>
      </c>
      <c r="AA7" s="44" t="s">
        <v>282</v>
      </c>
      <c r="AB7" s="187" t="s">
        <v>456</v>
      </c>
      <c r="AC7" s="10"/>
      <c r="AD7" s="13">
        <v>435.71199999999999</v>
      </c>
      <c r="AE7" s="10"/>
      <c r="AF7" s="10"/>
      <c r="AG7" s="45"/>
      <c r="AH7" s="45"/>
      <c r="AI7" s="45">
        <f t="shared" si="1"/>
        <v>-757.76</v>
      </c>
      <c r="AJ7" s="41"/>
      <c r="AK7" s="45"/>
      <c r="AL7" s="45"/>
      <c r="AN7" s="128">
        <v>0</v>
      </c>
      <c r="AO7" s="45"/>
      <c r="AP7" s="46">
        <f t="shared" si="2"/>
        <v>18621.952000000001</v>
      </c>
      <c r="AQ7" s="47"/>
      <c r="AW7" s="48">
        <f t="shared" si="3"/>
        <v>18621.952000000001</v>
      </c>
      <c r="AX7" s="66"/>
      <c r="AY7" s="47">
        <f t="shared" si="4"/>
        <v>18621.952000000001</v>
      </c>
      <c r="AZ7" s="47"/>
      <c r="BB7" s="47" t="e">
        <f>VLOOKUP($AA7,#REF!,3,0)*(+AY7+AZ7)</f>
        <v>#REF!</v>
      </c>
      <c r="BC7" s="47" t="e">
        <f>VLOOKUP($AB7,#REF!,3,0)*(+AY7+AZ7)</f>
        <v>#REF!</v>
      </c>
      <c r="BE7" s="47"/>
      <c r="BF7" s="47"/>
      <c r="BH7" s="47" t="e">
        <f t="shared" si="5"/>
        <v>#REF!</v>
      </c>
      <c r="BM7" s="47" t="e">
        <f t="shared" ref="BM7:BM37" si="17">SUM(BH7:BL7)</f>
        <v>#REF!</v>
      </c>
      <c r="BN7" s="66"/>
      <c r="BO7" s="47" t="e">
        <f t="shared" si="6"/>
        <v>#REF!</v>
      </c>
      <c r="BP7" s="47"/>
      <c r="BR7" s="47" t="e">
        <f>VLOOKUP($AA7,#REF!,4,0)*(+BO7+BP7)</f>
        <v>#REF!</v>
      </c>
      <c r="BS7" s="47" t="e">
        <f>VLOOKUP($AB7,#REF!,4,0)*(+BO7+BP7)</f>
        <v>#REF!</v>
      </c>
      <c r="BV7" s="47"/>
      <c r="BY7" s="47" t="e">
        <f t="shared" ref="BY7:BY70" si="18">SUM(BO7:BX7)</f>
        <v>#REF!</v>
      </c>
      <c r="CD7" s="47" t="e">
        <f t="shared" si="7"/>
        <v>#REF!</v>
      </c>
      <c r="CE7" s="66"/>
      <c r="CF7" s="47" t="e">
        <f t="shared" si="8"/>
        <v>#REF!</v>
      </c>
      <c r="CG7" s="47"/>
      <c r="CI7" s="47" t="e">
        <f>VLOOKUP($AA7,#REF!,5,0)*(+CF7+CG7)</f>
        <v>#REF!</v>
      </c>
      <c r="CJ7" s="47" t="e">
        <f>VLOOKUP($AB7,#REF!,5,0)*(+CF7+CG7)</f>
        <v>#REF!</v>
      </c>
      <c r="CM7" s="47"/>
      <c r="CO7" s="47" t="e">
        <f t="shared" si="9"/>
        <v>#REF!</v>
      </c>
      <c r="CT7" s="47" t="e">
        <f t="shared" si="10"/>
        <v>#REF!</v>
      </c>
      <c r="CU7" s="66"/>
      <c r="CV7" s="47" t="e">
        <f t="shared" si="11"/>
        <v>#REF!</v>
      </c>
      <c r="CW7" s="47"/>
      <c r="CY7" s="47" t="e">
        <f>VLOOKUP($AA7,#REF!,6,0)*(+CV7+CW7)</f>
        <v>#REF!</v>
      </c>
      <c r="CZ7" s="47" t="e">
        <f>VLOOKUP($AB7,#REF!,6,0)*(+CV7+CW7)</f>
        <v>#REF!</v>
      </c>
      <c r="DC7" s="47"/>
      <c r="DE7" s="47" t="e">
        <f t="shared" si="12"/>
        <v>#REF!</v>
      </c>
      <c r="DJ7" s="47" t="e">
        <f t="shared" si="13"/>
        <v>#REF!</v>
      </c>
      <c r="DK7" s="66"/>
      <c r="DL7" s="47" t="e">
        <f t="shared" si="14"/>
        <v>#REF!</v>
      </c>
      <c r="DM7" s="47"/>
      <c r="DO7" s="47" t="e">
        <f>VLOOKUP($AA7,#REF!,7,0)*(+DL7+DM7)</f>
        <v>#REF!</v>
      </c>
      <c r="DP7" s="47" t="e">
        <f>VLOOKUP($AB7,#REF!,7,0)*(+DL7+DM7)</f>
        <v>#REF!</v>
      </c>
      <c r="DS7" s="47"/>
      <c r="DU7" s="47" t="e">
        <f t="shared" si="15"/>
        <v>#REF!</v>
      </c>
      <c r="DZ7" s="47" t="e">
        <f t="shared" si="16"/>
        <v>#REF!</v>
      </c>
      <c r="EA7" s="66"/>
    </row>
    <row r="8" spans="1:131" x14ac:dyDescent="0.2">
      <c r="A8" s="38" t="s">
        <v>373</v>
      </c>
      <c r="B8" s="39" t="s">
        <v>61</v>
      </c>
      <c r="C8" s="39" t="s">
        <v>62</v>
      </c>
      <c r="D8" s="39"/>
      <c r="E8" s="40">
        <v>1558413</v>
      </c>
      <c r="F8" s="41">
        <v>633000</v>
      </c>
      <c r="G8" s="41"/>
      <c r="H8" s="41"/>
      <c r="I8" s="41"/>
      <c r="J8" s="41"/>
      <c r="K8" s="51"/>
      <c r="L8" s="41"/>
      <c r="M8" s="41"/>
      <c r="N8" s="41"/>
      <c r="O8" s="41"/>
      <c r="P8" s="41"/>
      <c r="Q8" s="41"/>
      <c r="R8" s="41"/>
      <c r="S8" s="41"/>
      <c r="T8" s="42">
        <f t="shared" si="0"/>
        <v>2191413</v>
      </c>
      <c r="U8" s="43">
        <v>400000</v>
      </c>
      <c r="V8" s="140">
        <v>2591413</v>
      </c>
      <c r="W8" s="142" t="s">
        <v>367</v>
      </c>
      <c r="X8" s="142">
        <v>6</v>
      </c>
      <c r="Y8" s="171" t="s">
        <v>423</v>
      </c>
      <c r="Z8" s="171" t="s">
        <v>428</v>
      </c>
      <c r="AA8" s="44" t="s">
        <v>282</v>
      </c>
      <c r="AB8" s="187" t="s">
        <v>456</v>
      </c>
      <c r="AC8" s="10"/>
      <c r="AD8" s="13">
        <v>50402.498999999996</v>
      </c>
      <c r="AE8" s="10"/>
      <c r="AF8" s="10"/>
      <c r="AG8" s="45"/>
      <c r="AH8" s="45"/>
      <c r="AI8" s="45">
        <f t="shared" si="1"/>
        <v>-87656.52</v>
      </c>
      <c r="AJ8" s="41"/>
      <c r="AK8" s="45"/>
      <c r="AL8" s="45"/>
      <c r="AN8" s="128">
        <v>45841</v>
      </c>
      <c r="AO8" s="45"/>
      <c r="AP8" s="46">
        <f t="shared" si="2"/>
        <v>2599999.9789999998</v>
      </c>
      <c r="AQ8" s="47"/>
      <c r="AW8" s="48">
        <f t="shared" si="3"/>
        <v>2599999.9789999998</v>
      </c>
      <c r="AX8" s="66"/>
      <c r="AY8" s="47">
        <f t="shared" si="4"/>
        <v>2599999.9789999998</v>
      </c>
      <c r="AZ8" s="47"/>
      <c r="BB8" s="47" t="e">
        <f>VLOOKUP($AA8,#REF!,3,0)*(+AY8+AZ8)</f>
        <v>#REF!</v>
      </c>
      <c r="BC8" s="47" t="e">
        <f>VLOOKUP($AB8,#REF!,3,0)*(+AY8+AZ8)</f>
        <v>#REF!</v>
      </c>
      <c r="BE8" s="47"/>
      <c r="BF8" s="47"/>
      <c r="BH8" s="47" t="e">
        <f t="shared" si="5"/>
        <v>#REF!</v>
      </c>
      <c r="BM8" s="47" t="e">
        <f t="shared" si="17"/>
        <v>#REF!</v>
      </c>
      <c r="BN8" s="66"/>
      <c r="BO8" s="47" t="e">
        <f t="shared" si="6"/>
        <v>#REF!</v>
      </c>
      <c r="BP8" s="47"/>
      <c r="BR8" s="47" t="e">
        <f>VLOOKUP($AA8,#REF!,4,0)*(+BO8+BP8)</f>
        <v>#REF!</v>
      </c>
      <c r="BS8" s="47" t="e">
        <f>VLOOKUP($AB8,#REF!,4,0)*(+BO8+BP8)</f>
        <v>#REF!</v>
      </c>
      <c r="BV8" s="47"/>
      <c r="BY8" s="47" t="e">
        <f t="shared" si="18"/>
        <v>#REF!</v>
      </c>
      <c r="CD8" s="47" t="e">
        <f t="shared" si="7"/>
        <v>#REF!</v>
      </c>
      <c r="CE8" s="66"/>
      <c r="CF8" s="47" t="e">
        <f t="shared" si="8"/>
        <v>#REF!</v>
      </c>
      <c r="CG8" s="47"/>
      <c r="CI8" s="47" t="e">
        <f>VLOOKUP($AA8,#REF!,5,0)*(+CF8+CG8)</f>
        <v>#REF!</v>
      </c>
      <c r="CJ8" s="47" t="e">
        <f>VLOOKUP($AB8,#REF!,5,0)*(+CF8+CG8)</f>
        <v>#REF!</v>
      </c>
      <c r="CM8" s="47"/>
      <c r="CO8" s="47" t="e">
        <f t="shared" si="9"/>
        <v>#REF!</v>
      </c>
      <c r="CT8" s="47" t="e">
        <f t="shared" si="10"/>
        <v>#REF!</v>
      </c>
      <c r="CU8" s="66"/>
      <c r="CV8" s="47" t="e">
        <f t="shared" si="11"/>
        <v>#REF!</v>
      </c>
      <c r="CW8" s="47"/>
      <c r="CY8" s="47" t="e">
        <f>VLOOKUP($AA8,#REF!,6,0)*(+CV8+CW8)</f>
        <v>#REF!</v>
      </c>
      <c r="CZ8" s="47" t="e">
        <f>VLOOKUP($AB8,#REF!,6,0)*(+CV8+CW8)</f>
        <v>#REF!</v>
      </c>
      <c r="DC8" s="47"/>
      <c r="DE8" s="47" t="e">
        <f t="shared" si="12"/>
        <v>#REF!</v>
      </c>
      <c r="DJ8" s="47" t="e">
        <f t="shared" si="13"/>
        <v>#REF!</v>
      </c>
      <c r="DK8" s="66"/>
      <c r="DL8" s="47" t="e">
        <f t="shared" si="14"/>
        <v>#REF!</v>
      </c>
      <c r="DM8" s="47"/>
      <c r="DO8" s="47" t="e">
        <f>VLOOKUP($AA8,#REF!,7,0)*(+DL8+DM8)</f>
        <v>#REF!</v>
      </c>
      <c r="DP8" s="47" t="e">
        <f>VLOOKUP($AB8,#REF!,7,0)*(+DL8+DM8)</f>
        <v>#REF!</v>
      </c>
      <c r="DS8" s="47"/>
      <c r="DU8" s="47" t="e">
        <f t="shared" si="15"/>
        <v>#REF!</v>
      </c>
      <c r="DZ8" s="47" t="e">
        <f t="shared" si="16"/>
        <v>#REF!</v>
      </c>
      <c r="EA8" s="66"/>
    </row>
    <row r="9" spans="1:131" x14ac:dyDescent="0.2">
      <c r="A9" s="38" t="s">
        <v>373</v>
      </c>
      <c r="B9" s="39" t="s">
        <v>63</v>
      </c>
      <c r="C9" s="39" t="s">
        <v>64</v>
      </c>
      <c r="D9" s="39"/>
      <c r="E9" s="40">
        <v>1566311</v>
      </c>
      <c r="F9" s="41">
        <v>-510000</v>
      </c>
      <c r="G9" s="41"/>
      <c r="H9" s="41"/>
      <c r="I9" s="41"/>
      <c r="J9" s="41"/>
      <c r="K9" s="51"/>
      <c r="L9" s="41"/>
      <c r="M9" s="41"/>
      <c r="N9" s="41"/>
      <c r="O9" s="41"/>
      <c r="P9" s="41"/>
      <c r="Q9" s="41"/>
      <c r="R9" s="41"/>
      <c r="S9" s="41"/>
      <c r="T9" s="42">
        <f t="shared" si="0"/>
        <v>1056311</v>
      </c>
      <c r="U9" s="43"/>
      <c r="V9" s="140">
        <v>1056311</v>
      </c>
      <c r="W9" s="142" t="s">
        <v>367</v>
      </c>
      <c r="X9" s="142">
        <v>6</v>
      </c>
      <c r="Y9" s="172" t="s">
        <v>424</v>
      </c>
      <c r="Z9" s="171" t="s">
        <v>428</v>
      </c>
      <c r="AA9" s="44" t="s">
        <v>282</v>
      </c>
      <c r="AB9" s="187" t="s">
        <v>456</v>
      </c>
      <c r="AC9" s="10"/>
      <c r="AD9" s="13">
        <v>24295.152999999998</v>
      </c>
      <c r="AE9" s="10"/>
      <c r="AF9" s="10"/>
      <c r="AG9" s="45"/>
      <c r="AH9" s="45"/>
      <c r="AI9" s="45">
        <f t="shared" si="1"/>
        <v>-42252.44</v>
      </c>
      <c r="AJ9" s="41"/>
      <c r="AK9" s="45"/>
      <c r="AL9" s="45"/>
      <c r="AN9" s="128">
        <v>0</v>
      </c>
      <c r="AO9" s="45"/>
      <c r="AP9" s="46">
        <f t="shared" si="2"/>
        <v>1038353.713</v>
      </c>
      <c r="AQ9" s="47"/>
      <c r="AW9" s="48">
        <f t="shared" si="3"/>
        <v>1038353.713</v>
      </c>
      <c r="AX9" s="66"/>
      <c r="AY9" s="47">
        <f t="shared" si="4"/>
        <v>1038353.713</v>
      </c>
      <c r="AZ9" s="47"/>
      <c r="BB9" s="47" t="e">
        <f>VLOOKUP($AA9,#REF!,3,0)*(+AY9+AZ9)</f>
        <v>#REF!</v>
      </c>
      <c r="BC9" s="47" t="e">
        <f>VLOOKUP($AB9,#REF!,3,0)*(+AY9+AZ9)</f>
        <v>#REF!</v>
      </c>
      <c r="BE9" s="47"/>
      <c r="BF9" s="47"/>
      <c r="BH9" s="47" t="e">
        <f t="shared" si="5"/>
        <v>#REF!</v>
      </c>
      <c r="BM9" s="47" t="e">
        <f t="shared" si="17"/>
        <v>#REF!</v>
      </c>
      <c r="BN9" s="66"/>
      <c r="BO9" s="47" t="e">
        <f t="shared" si="6"/>
        <v>#REF!</v>
      </c>
      <c r="BP9" s="47"/>
      <c r="BR9" s="47" t="e">
        <f>VLOOKUP($AA9,#REF!,4,0)*(+BO9+BP9)</f>
        <v>#REF!</v>
      </c>
      <c r="BS9" s="47" t="e">
        <f>VLOOKUP($AB9,#REF!,4,0)*(+BO9+BP9)</f>
        <v>#REF!</v>
      </c>
      <c r="BV9" s="47"/>
      <c r="BY9" s="47" t="e">
        <f t="shared" si="18"/>
        <v>#REF!</v>
      </c>
      <c r="CD9" s="47" t="e">
        <f t="shared" si="7"/>
        <v>#REF!</v>
      </c>
      <c r="CE9" s="66"/>
      <c r="CF9" s="47" t="e">
        <f t="shared" si="8"/>
        <v>#REF!</v>
      </c>
      <c r="CG9" s="47"/>
      <c r="CI9" s="47" t="e">
        <f>VLOOKUP($AA9,#REF!,5,0)*(+CF9+CG9)</f>
        <v>#REF!</v>
      </c>
      <c r="CJ9" s="47" t="e">
        <f>VLOOKUP($AB9,#REF!,5,0)*(+CF9+CG9)</f>
        <v>#REF!</v>
      </c>
      <c r="CM9" s="47"/>
      <c r="CO9" s="47" t="e">
        <f t="shared" si="9"/>
        <v>#REF!</v>
      </c>
      <c r="CT9" s="47" t="e">
        <f t="shared" si="10"/>
        <v>#REF!</v>
      </c>
      <c r="CU9" s="66"/>
      <c r="CV9" s="47" t="e">
        <f t="shared" si="11"/>
        <v>#REF!</v>
      </c>
      <c r="CW9" s="47"/>
      <c r="CY9" s="47" t="e">
        <f>VLOOKUP($AA9,#REF!,6,0)*(+CV9+CW9)</f>
        <v>#REF!</v>
      </c>
      <c r="CZ9" s="47" t="e">
        <f>VLOOKUP($AB9,#REF!,6,0)*(+CV9+CW9)</f>
        <v>#REF!</v>
      </c>
      <c r="DC9" s="47"/>
      <c r="DE9" s="47" t="e">
        <f t="shared" si="12"/>
        <v>#REF!</v>
      </c>
      <c r="DJ9" s="47" t="e">
        <f t="shared" si="13"/>
        <v>#REF!</v>
      </c>
      <c r="DK9" s="66"/>
      <c r="DL9" s="47" t="e">
        <f t="shared" si="14"/>
        <v>#REF!</v>
      </c>
      <c r="DM9" s="47"/>
      <c r="DO9" s="47" t="e">
        <f>VLOOKUP($AA9,#REF!,7,0)*(+DL9+DM9)</f>
        <v>#REF!</v>
      </c>
      <c r="DP9" s="47" t="e">
        <f>VLOOKUP($AB9,#REF!,7,0)*(+DL9+DM9)</f>
        <v>#REF!</v>
      </c>
      <c r="DS9" s="47"/>
      <c r="DU9" s="47" t="e">
        <f t="shared" si="15"/>
        <v>#REF!</v>
      </c>
      <c r="DZ9" s="47" t="e">
        <f t="shared" si="16"/>
        <v>#REF!</v>
      </c>
      <c r="EA9" s="66"/>
    </row>
    <row r="10" spans="1:131" x14ac:dyDescent="0.2">
      <c r="A10" s="38" t="s">
        <v>374</v>
      </c>
      <c r="B10" s="39" t="s">
        <v>67</v>
      </c>
      <c r="C10" s="39" t="s">
        <v>68</v>
      </c>
      <c r="D10" s="49" t="s">
        <v>333</v>
      </c>
      <c r="E10" s="40">
        <v>484701</v>
      </c>
      <c r="F10" s="41"/>
      <c r="G10" s="41"/>
      <c r="H10" s="41"/>
      <c r="I10" s="41"/>
      <c r="J10" s="41">
        <v>-227750</v>
      </c>
      <c r="K10" s="103">
        <v>228000</v>
      </c>
      <c r="L10" s="41"/>
      <c r="M10" s="41"/>
      <c r="N10" s="41"/>
      <c r="O10" s="41"/>
      <c r="P10" s="41"/>
      <c r="Q10" s="41"/>
      <c r="R10" s="41"/>
      <c r="S10" s="41">
        <f t="shared" ref="S10:S21" si="19">SUM(E10:P10)/1.025*-0.025</f>
        <v>-11828.07317073171</v>
      </c>
      <c r="T10" s="42">
        <f t="shared" si="0"/>
        <v>473122.92682926828</v>
      </c>
      <c r="U10" s="43"/>
      <c r="V10" s="141">
        <v>410842.92682926828</v>
      </c>
      <c r="W10" s="142" t="s">
        <v>367</v>
      </c>
      <c r="X10" s="142">
        <v>5</v>
      </c>
      <c r="Y10" s="171" t="s">
        <v>423</v>
      </c>
      <c r="Z10" s="171" t="s">
        <v>428</v>
      </c>
      <c r="AA10" s="44" t="s">
        <v>282</v>
      </c>
      <c r="AB10" s="187" t="s">
        <v>456</v>
      </c>
      <c r="AC10" s="10">
        <f t="shared" ref="AC10:AC21" si="20">+T10*0.025</f>
        <v>11828.073170731708</v>
      </c>
      <c r="AD10" s="13">
        <v>11153.873</v>
      </c>
      <c r="AE10" s="10"/>
      <c r="AF10" s="10"/>
      <c r="AG10" s="45"/>
      <c r="AH10" s="45"/>
      <c r="AI10" s="45">
        <f t="shared" si="1"/>
        <v>-18924.917073170731</v>
      </c>
      <c r="AJ10" s="41"/>
      <c r="AK10" s="45"/>
      <c r="AL10" s="45"/>
      <c r="AN10" s="128">
        <v>0</v>
      </c>
      <c r="AO10" s="45"/>
      <c r="AP10" s="46">
        <f t="shared" si="2"/>
        <v>414899.95592682925</v>
      </c>
      <c r="AQ10" s="47"/>
      <c r="AW10" s="48">
        <f t="shared" si="3"/>
        <v>414899.95592682925</v>
      </c>
      <c r="AX10" s="66"/>
      <c r="AY10" s="47">
        <f t="shared" si="4"/>
        <v>403071.88275609753</v>
      </c>
      <c r="AZ10" s="249">
        <v>62000</v>
      </c>
      <c r="BA10" s="47">
        <f t="shared" ref="BA10:BA21" si="21">+((AY10+AZ10)*0.025)*0.85</f>
        <v>9882.7775085670728</v>
      </c>
      <c r="BB10" s="47" t="e">
        <f>VLOOKUP($AA10,#REF!,3,0)*(+AY10+AZ10)</f>
        <v>#REF!</v>
      </c>
      <c r="BC10" s="47" t="e">
        <f>VLOOKUP($AB10,#REF!,3,0)*(+AY10+AZ10)</f>
        <v>#REF!</v>
      </c>
      <c r="BE10" s="47"/>
      <c r="BF10" s="47"/>
      <c r="BH10" s="47" t="e">
        <f t="shared" si="5"/>
        <v>#REF!</v>
      </c>
      <c r="BM10" s="47" t="e">
        <f t="shared" si="17"/>
        <v>#REF!</v>
      </c>
      <c r="BN10" s="66"/>
      <c r="BO10" s="47" t="e">
        <f t="shared" si="6"/>
        <v>#REF!</v>
      </c>
      <c r="BP10" s="47"/>
      <c r="BQ10" s="47" t="e">
        <f t="shared" ref="BQ10:BQ21" si="22">+((BO10+BP10)*0.025)*0.85</f>
        <v>#REF!</v>
      </c>
      <c r="BR10" s="47" t="e">
        <f>VLOOKUP($AA10,#REF!,4,0)*(+BO10+BP10)</f>
        <v>#REF!</v>
      </c>
      <c r="BS10" s="47" t="e">
        <f>VLOOKUP($AB10,#REF!,4,0)*(+BO10+BP10)</f>
        <v>#REF!</v>
      </c>
      <c r="BV10" s="47"/>
      <c r="BY10" s="47" t="e">
        <f t="shared" si="18"/>
        <v>#REF!</v>
      </c>
      <c r="CD10" s="47" t="e">
        <f t="shared" si="7"/>
        <v>#REF!</v>
      </c>
      <c r="CE10" s="66"/>
      <c r="CF10" s="47" t="e">
        <f t="shared" si="8"/>
        <v>#REF!</v>
      </c>
      <c r="CG10" s="47"/>
      <c r="CH10" s="47" t="e">
        <f t="shared" ref="CH10:CH21" si="23">+((CF10+CG10)*0.025)*0.85</f>
        <v>#REF!</v>
      </c>
      <c r="CI10" s="47" t="e">
        <f>VLOOKUP($AA10,#REF!,5,0)*(+CF10+CG10)</f>
        <v>#REF!</v>
      </c>
      <c r="CJ10" s="47" t="e">
        <f>VLOOKUP($AB10,#REF!,5,0)*(+CF10+CG10)</f>
        <v>#REF!</v>
      </c>
      <c r="CM10" s="47"/>
      <c r="CO10" s="47" t="e">
        <f t="shared" si="9"/>
        <v>#REF!</v>
      </c>
      <c r="CT10" s="47" t="e">
        <f t="shared" si="10"/>
        <v>#REF!</v>
      </c>
      <c r="CU10" s="66"/>
      <c r="CV10" s="47" t="e">
        <f t="shared" si="11"/>
        <v>#REF!</v>
      </c>
      <c r="CW10" s="47"/>
      <c r="CX10" s="47" t="e">
        <f t="shared" ref="CX10:CX21" si="24">+((CV10+CW10)*0.025)*0.85</f>
        <v>#REF!</v>
      </c>
      <c r="CY10" s="47" t="e">
        <f>VLOOKUP($AA10,#REF!,6,0)*(+CV10+CW10)</f>
        <v>#REF!</v>
      </c>
      <c r="CZ10" s="47" t="e">
        <f>VLOOKUP($AB10,#REF!,6,0)*(+CV10+CW10)</f>
        <v>#REF!</v>
      </c>
      <c r="DC10" s="47"/>
      <c r="DE10" s="47" t="e">
        <f t="shared" si="12"/>
        <v>#REF!</v>
      </c>
      <c r="DJ10" s="47" t="e">
        <f t="shared" si="13"/>
        <v>#REF!</v>
      </c>
      <c r="DK10" s="66"/>
      <c r="DL10" s="47" t="e">
        <f t="shared" si="14"/>
        <v>#REF!</v>
      </c>
      <c r="DM10" s="47"/>
      <c r="DN10" s="47" t="e">
        <f t="shared" ref="DN10:DN21" si="25">+((DL10+DM10)*0.025)*0.85</f>
        <v>#REF!</v>
      </c>
      <c r="DO10" s="47" t="e">
        <f>VLOOKUP($AA10,#REF!,7,0)*(+DL10+DM10)</f>
        <v>#REF!</v>
      </c>
      <c r="DP10" s="47" t="e">
        <f>VLOOKUP($AB10,#REF!,7,0)*(+DL10+DM10)</f>
        <v>#REF!</v>
      </c>
      <c r="DS10" s="47"/>
      <c r="DU10" s="47" t="e">
        <f t="shared" si="15"/>
        <v>#REF!</v>
      </c>
      <c r="DZ10" s="47" t="e">
        <f t="shared" si="16"/>
        <v>#REF!</v>
      </c>
      <c r="EA10" s="66"/>
    </row>
    <row r="11" spans="1:131" x14ac:dyDescent="0.2">
      <c r="A11" s="38" t="s">
        <v>328</v>
      </c>
      <c r="B11" s="39" t="s">
        <v>69</v>
      </c>
      <c r="C11" s="39" t="s">
        <v>70</v>
      </c>
      <c r="D11" s="49" t="s">
        <v>328</v>
      </c>
      <c r="E11" s="40">
        <v>23488037</v>
      </c>
      <c r="F11" s="41">
        <v>650000</v>
      </c>
      <c r="G11" s="41"/>
      <c r="H11" s="41">
        <f>106046+1000000</f>
        <v>1106046</v>
      </c>
      <c r="I11" s="41"/>
      <c r="J11" s="41">
        <f>-4792275+2436242</f>
        <v>-2356033</v>
      </c>
      <c r="K11" s="103">
        <f>-3920000+863260</f>
        <v>-3056740</v>
      </c>
      <c r="L11" s="41"/>
      <c r="M11" s="41"/>
      <c r="N11" s="41"/>
      <c r="O11" s="41"/>
      <c r="P11" s="41"/>
      <c r="Q11" s="41"/>
      <c r="R11" s="41"/>
      <c r="S11" s="41">
        <f t="shared" si="19"/>
        <v>-483690.48780487815</v>
      </c>
      <c r="T11" s="42">
        <f t="shared" si="0"/>
        <v>19347619.512195121</v>
      </c>
      <c r="U11" s="43"/>
      <c r="V11" s="141">
        <v>20062619.512195121</v>
      </c>
      <c r="W11" s="142" t="s">
        <v>367</v>
      </c>
      <c r="X11" s="142">
        <v>2</v>
      </c>
      <c r="Y11" s="171" t="s">
        <v>423</v>
      </c>
      <c r="Z11" s="171" t="s">
        <v>428</v>
      </c>
      <c r="AA11" s="44" t="s">
        <v>282</v>
      </c>
      <c r="AB11" s="187" t="s">
        <v>456</v>
      </c>
      <c r="AC11" s="10">
        <f t="shared" si="20"/>
        <v>483690.48780487804</v>
      </c>
      <c r="AD11" s="13">
        <v>456120.13</v>
      </c>
      <c r="AE11" s="10"/>
      <c r="AF11" s="10"/>
      <c r="AG11" s="45"/>
      <c r="AH11" s="45"/>
      <c r="AI11" s="45">
        <f t="shared" si="1"/>
        <v>-773904.78048780491</v>
      </c>
      <c r="AJ11" s="41"/>
      <c r="AK11" s="45"/>
      <c r="AL11" s="45"/>
      <c r="AN11" s="128">
        <v>624855</v>
      </c>
      <c r="AO11" s="45"/>
      <c r="AP11" s="46">
        <f t="shared" si="2"/>
        <v>20853380.349512193</v>
      </c>
      <c r="AQ11" s="47"/>
      <c r="AV11" s="38">
        <v>500000</v>
      </c>
      <c r="AW11" s="48">
        <f t="shared" si="3"/>
        <v>21353380.349512193</v>
      </c>
      <c r="AX11" s="66"/>
      <c r="AY11" s="47">
        <f t="shared" si="4"/>
        <v>20369689.861707315</v>
      </c>
      <c r="AZ11" s="249">
        <v>756000</v>
      </c>
      <c r="BA11" s="47">
        <f t="shared" si="21"/>
        <v>448920.90956128045</v>
      </c>
      <c r="BB11" s="47" t="e">
        <f>VLOOKUP($AA11,#REF!,3,0)*(+AY11+AZ11)</f>
        <v>#REF!</v>
      </c>
      <c r="BC11" s="47" t="e">
        <f>VLOOKUP($AB11,#REF!,3,0)*(+AY11+AZ11)</f>
        <v>#REF!</v>
      </c>
      <c r="BE11" s="47"/>
      <c r="BF11" s="47"/>
      <c r="BH11" s="47" t="e">
        <f t="shared" si="5"/>
        <v>#REF!</v>
      </c>
      <c r="BM11" s="47" t="e">
        <f t="shared" si="17"/>
        <v>#REF!</v>
      </c>
      <c r="BN11" s="66"/>
      <c r="BO11" s="47" t="e">
        <f t="shared" si="6"/>
        <v>#REF!</v>
      </c>
      <c r="BP11" s="47"/>
      <c r="BQ11" s="47" t="e">
        <f t="shared" si="22"/>
        <v>#REF!</v>
      </c>
      <c r="BR11" s="47" t="e">
        <f>VLOOKUP($AA11,#REF!,4,0)*(+BO11+BP11)</f>
        <v>#REF!</v>
      </c>
      <c r="BS11" s="47" t="e">
        <f>VLOOKUP($AB11,#REF!,4,0)*(+BO11+BP11)</f>
        <v>#REF!</v>
      </c>
      <c r="BV11" s="47"/>
      <c r="BY11" s="47" t="e">
        <f t="shared" si="18"/>
        <v>#REF!</v>
      </c>
      <c r="CD11" s="47" t="e">
        <f t="shared" si="7"/>
        <v>#REF!</v>
      </c>
      <c r="CE11" s="66"/>
      <c r="CF11" s="47" t="e">
        <f t="shared" si="8"/>
        <v>#REF!</v>
      </c>
      <c r="CG11" s="47"/>
      <c r="CH11" s="47" t="e">
        <f t="shared" si="23"/>
        <v>#REF!</v>
      </c>
      <c r="CI11" s="47" t="e">
        <f>VLOOKUP($AA11,#REF!,5,0)*(+CF11+CG11)</f>
        <v>#REF!</v>
      </c>
      <c r="CJ11" s="47" t="e">
        <f>VLOOKUP($AB11,#REF!,5,0)*(+CF11+CG11)</f>
        <v>#REF!</v>
      </c>
      <c r="CM11" s="47"/>
      <c r="CO11" s="47" t="e">
        <f t="shared" si="9"/>
        <v>#REF!</v>
      </c>
      <c r="CT11" s="47" t="e">
        <f t="shared" si="10"/>
        <v>#REF!</v>
      </c>
      <c r="CU11" s="66"/>
      <c r="CV11" s="47" t="e">
        <f t="shared" si="11"/>
        <v>#REF!</v>
      </c>
      <c r="CW11" s="47"/>
      <c r="CX11" s="47" t="e">
        <f t="shared" si="24"/>
        <v>#REF!</v>
      </c>
      <c r="CY11" s="47" t="e">
        <f>VLOOKUP($AA11,#REF!,6,0)*(+CV11+CW11)</f>
        <v>#REF!</v>
      </c>
      <c r="CZ11" s="47" t="e">
        <f>VLOOKUP($AB11,#REF!,6,0)*(+CV11+CW11)</f>
        <v>#REF!</v>
      </c>
      <c r="DC11" s="47"/>
      <c r="DE11" s="47" t="e">
        <f t="shared" si="12"/>
        <v>#REF!</v>
      </c>
      <c r="DJ11" s="47" t="e">
        <f t="shared" si="13"/>
        <v>#REF!</v>
      </c>
      <c r="DK11" s="66"/>
      <c r="DL11" s="47" t="e">
        <f t="shared" si="14"/>
        <v>#REF!</v>
      </c>
      <c r="DM11" s="47"/>
      <c r="DN11" s="47" t="e">
        <f t="shared" si="25"/>
        <v>#REF!</v>
      </c>
      <c r="DO11" s="47" t="e">
        <f>VLOOKUP($AA11,#REF!,7,0)*(+DL11+DM11)</f>
        <v>#REF!</v>
      </c>
      <c r="DP11" s="47" t="e">
        <f>VLOOKUP($AB11,#REF!,7,0)*(+DL11+DM11)</f>
        <v>#REF!</v>
      </c>
      <c r="DS11" s="47"/>
      <c r="DU11" s="47" t="e">
        <f t="shared" si="15"/>
        <v>#REF!</v>
      </c>
      <c r="DZ11" s="47" t="e">
        <f t="shared" si="16"/>
        <v>#REF!</v>
      </c>
      <c r="EA11" s="66"/>
    </row>
    <row r="12" spans="1:131" x14ac:dyDescent="0.2">
      <c r="A12" s="38" t="s">
        <v>331</v>
      </c>
      <c r="B12" s="39" t="s">
        <v>71</v>
      </c>
      <c r="C12" s="39" t="s">
        <v>72</v>
      </c>
      <c r="D12" s="49" t="s">
        <v>331</v>
      </c>
      <c r="E12" s="40">
        <v>17154329</v>
      </c>
      <c r="F12" s="41">
        <v>511000</v>
      </c>
      <c r="G12" s="41"/>
      <c r="H12" s="41"/>
      <c r="I12" s="41"/>
      <c r="J12" s="41">
        <v>-4214558</v>
      </c>
      <c r="K12" s="103">
        <v>-3506000</v>
      </c>
      <c r="L12" s="41"/>
      <c r="M12" s="41"/>
      <c r="N12" s="41"/>
      <c r="O12" s="41"/>
      <c r="P12" s="41"/>
      <c r="Q12" s="41"/>
      <c r="R12" s="41"/>
      <c r="S12" s="41">
        <f t="shared" si="19"/>
        <v>-242555.39024390248</v>
      </c>
      <c r="T12" s="42">
        <f t="shared" si="0"/>
        <v>9702215.6097560972</v>
      </c>
      <c r="U12" s="43"/>
      <c r="V12" s="141">
        <v>11022231.609756097</v>
      </c>
      <c r="W12" s="142" t="s">
        <v>367</v>
      </c>
      <c r="X12" s="142">
        <v>3</v>
      </c>
      <c r="Y12" s="171" t="s">
        <v>423</v>
      </c>
      <c r="Z12" s="171" t="s">
        <v>428</v>
      </c>
      <c r="AA12" s="44" t="s">
        <v>282</v>
      </c>
      <c r="AB12" s="187" t="s">
        <v>456</v>
      </c>
      <c r="AC12" s="10">
        <f>+T12*0.025</f>
        <v>242555.39024390245</v>
      </c>
      <c r="AD12" s="13">
        <v>228729.73300000001</v>
      </c>
      <c r="AE12" s="10"/>
      <c r="AF12" s="10"/>
      <c r="AG12" s="45"/>
      <c r="AH12" s="45"/>
      <c r="AI12" s="45">
        <f t="shared" si="1"/>
        <v>-388088.6243902439</v>
      </c>
      <c r="AJ12" s="41"/>
      <c r="AK12" s="45"/>
      <c r="AL12" s="45"/>
      <c r="AN12" s="128">
        <v>2434049</v>
      </c>
      <c r="AO12" s="45"/>
      <c r="AP12" s="46">
        <f t="shared" si="2"/>
        <v>13539477.108609755</v>
      </c>
      <c r="AQ12" s="47"/>
      <c r="AW12" s="48">
        <f t="shared" si="3"/>
        <v>13539477.108609755</v>
      </c>
      <c r="AX12" s="66"/>
      <c r="AY12" s="47">
        <f>+AP12-AC12</f>
        <v>13296921.718365852</v>
      </c>
      <c r="AZ12" s="249">
        <v>352000</v>
      </c>
      <c r="BA12" s="47">
        <f>+((AY12+AZ12)*0.025)*0.85</f>
        <v>290039.58651527436</v>
      </c>
      <c r="BB12" s="47" t="e">
        <f>VLOOKUP($AA12,#REF!,3,0)*(+AY12+AZ12)</f>
        <v>#REF!</v>
      </c>
      <c r="BC12" s="47" t="e">
        <f>VLOOKUP($AB12,#REF!,3,0)*(+AY12+AZ12)</f>
        <v>#REF!</v>
      </c>
      <c r="BE12" s="47"/>
      <c r="BF12" s="47"/>
      <c r="BH12" s="47" t="e">
        <f t="shared" si="5"/>
        <v>#REF!</v>
      </c>
      <c r="BM12" s="47" t="e">
        <f t="shared" si="17"/>
        <v>#REF!</v>
      </c>
      <c r="BN12" s="66"/>
      <c r="BO12" s="47" t="e">
        <f t="shared" si="6"/>
        <v>#REF!</v>
      </c>
      <c r="BP12" s="47"/>
      <c r="BQ12" s="47" t="e">
        <f t="shared" si="22"/>
        <v>#REF!</v>
      </c>
      <c r="BR12" s="47" t="e">
        <f>VLOOKUP($AA12,#REF!,4,0)*(+BO12+BP12)</f>
        <v>#REF!</v>
      </c>
      <c r="BS12" s="47" t="e">
        <f>VLOOKUP($AB12,#REF!,4,0)*(+BO12+BP12)</f>
        <v>#REF!</v>
      </c>
      <c r="BV12" s="47"/>
      <c r="BY12" s="47" t="e">
        <f t="shared" si="18"/>
        <v>#REF!</v>
      </c>
      <c r="CD12" s="47" t="e">
        <f t="shared" si="7"/>
        <v>#REF!</v>
      </c>
      <c r="CE12" s="66"/>
      <c r="CF12" s="47" t="e">
        <f t="shared" si="8"/>
        <v>#REF!</v>
      </c>
      <c r="CG12" s="47"/>
      <c r="CH12" s="47" t="e">
        <f t="shared" si="23"/>
        <v>#REF!</v>
      </c>
      <c r="CI12" s="47" t="e">
        <f>VLOOKUP($AA12,#REF!,5,0)*(+CF12+CG12)</f>
        <v>#REF!</v>
      </c>
      <c r="CJ12" s="47" t="e">
        <f>VLOOKUP($AB12,#REF!,5,0)*(+CF12+CG12)</f>
        <v>#REF!</v>
      </c>
      <c r="CM12" s="47"/>
      <c r="CO12" s="47" t="e">
        <f t="shared" si="9"/>
        <v>#REF!</v>
      </c>
      <c r="CT12" s="47" t="e">
        <f t="shared" si="10"/>
        <v>#REF!</v>
      </c>
      <c r="CU12" s="66"/>
      <c r="CV12" s="47" t="e">
        <f t="shared" si="11"/>
        <v>#REF!</v>
      </c>
      <c r="CW12" s="47"/>
      <c r="CX12" s="47" t="e">
        <f t="shared" si="24"/>
        <v>#REF!</v>
      </c>
      <c r="CY12" s="47" t="e">
        <f>VLOOKUP($AA12,#REF!,6,0)*(+CV12+CW12)</f>
        <v>#REF!</v>
      </c>
      <c r="CZ12" s="47" t="e">
        <f>VLOOKUP($AB12,#REF!,6,0)*(+CV12+CW12)</f>
        <v>#REF!</v>
      </c>
      <c r="DC12" s="47"/>
      <c r="DE12" s="47" t="e">
        <f t="shared" si="12"/>
        <v>#REF!</v>
      </c>
      <c r="DJ12" s="47" t="e">
        <f t="shared" si="13"/>
        <v>#REF!</v>
      </c>
      <c r="DK12" s="66"/>
      <c r="DL12" s="47" t="e">
        <f t="shared" si="14"/>
        <v>#REF!</v>
      </c>
      <c r="DM12" s="47"/>
      <c r="DN12" s="47" t="e">
        <f t="shared" si="25"/>
        <v>#REF!</v>
      </c>
      <c r="DO12" s="47" t="e">
        <f>VLOOKUP($AA12,#REF!,7,0)*(+DL12+DM12)</f>
        <v>#REF!</v>
      </c>
      <c r="DP12" s="47" t="e">
        <f>VLOOKUP($AB12,#REF!,7,0)*(+DL12+DM12)</f>
        <v>#REF!</v>
      </c>
      <c r="DS12" s="47"/>
      <c r="DU12" s="47" t="e">
        <f t="shared" si="15"/>
        <v>#REF!</v>
      </c>
      <c r="DZ12" s="47" t="e">
        <f t="shared" si="16"/>
        <v>#REF!</v>
      </c>
      <c r="EA12" s="66"/>
    </row>
    <row r="13" spans="1:131" x14ac:dyDescent="0.2">
      <c r="A13" s="38" t="s">
        <v>374</v>
      </c>
      <c r="B13" s="39" t="s">
        <v>73</v>
      </c>
      <c r="C13" s="39" t="s">
        <v>74</v>
      </c>
      <c r="D13" s="49" t="s">
        <v>329</v>
      </c>
      <c r="E13" s="40">
        <v>795881</v>
      </c>
      <c r="F13" s="41"/>
      <c r="G13" s="41"/>
      <c r="H13" s="41"/>
      <c r="I13" s="41"/>
      <c r="J13" s="41"/>
      <c r="K13" s="103">
        <v>-795881</v>
      </c>
      <c r="L13" s="41"/>
      <c r="M13" s="41"/>
      <c r="N13" s="41"/>
      <c r="O13" s="41"/>
      <c r="P13" s="41"/>
      <c r="Q13" s="41"/>
      <c r="R13" s="41"/>
      <c r="S13" s="41">
        <f t="shared" si="19"/>
        <v>0</v>
      </c>
      <c r="T13" s="42">
        <f t="shared" si="0"/>
        <v>0</v>
      </c>
      <c r="U13" s="43"/>
      <c r="V13" s="141">
        <v>0</v>
      </c>
      <c r="W13" s="142" t="s">
        <v>367</v>
      </c>
      <c r="X13" s="142">
        <v>5</v>
      </c>
      <c r="Y13" s="171" t="s">
        <v>423</v>
      </c>
      <c r="Z13" s="171" t="s">
        <v>428</v>
      </c>
      <c r="AA13" s="44" t="s">
        <v>282</v>
      </c>
      <c r="AB13" s="187" t="s">
        <v>456</v>
      </c>
      <c r="AC13" s="10">
        <f t="shared" si="20"/>
        <v>0</v>
      </c>
      <c r="AD13" s="13">
        <v>0</v>
      </c>
      <c r="AE13" s="10"/>
      <c r="AF13" s="10"/>
      <c r="AG13" s="45"/>
      <c r="AH13" s="45"/>
      <c r="AI13" s="45">
        <f t="shared" si="1"/>
        <v>0</v>
      </c>
      <c r="AJ13" s="41"/>
      <c r="AK13" s="45"/>
      <c r="AL13" s="45"/>
      <c r="AN13" s="128">
        <v>0</v>
      </c>
      <c r="AO13" s="45"/>
      <c r="AP13" s="46">
        <f t="shared" si="2"/>
        <v>0</v>
      </c>
      <c r="AQ13" s="47"/>
      <c r="AW13" s="48">
        <f t="shared" si="3"/>
        <v>0</v>
      </c>
      <c r="AX13" s="66"/>
      <c r="AY13" s="47">
        <f t="shared" si="4"/>
        <v>0</v>
      </c>
      <c r="AZ13" s="47"/>
      <c r="BA13" s="47">
        <f t="shared" si="21"/>
        <v>0</v>
      </c>
      <c r="BB13" s="47" t="e">
        <f>VLOOKUP($AA13,#REF!,3,0)*(+AY13+AZ13)</f>
        <v>#REF!</v>
      </c>
      <c r="BC13" s="47" t="e">
        <f>VLOOKUP($AB13,#REF!,3,0)*(+AY13+AZ13)</f>
        <v>#REF!</v>
      </c>
      <c r="BE13" s="47"/>
      <c r="BF13" s="47"/>
      <c r="BH13" s="47" t="e">
        <f t="shared" si="5"/>
        <v>#REF!</v>
      </c>
      <c r="BM13" s="47" t="e">
        <f t="shared" si="17"/>
        <v>#REF!</v>
      </c>
      <c r="BN13" s="66"/>
      <c r="BO13" s="47" t="e">
        <f t="shared" si="6"/>
        <v>#REF!</v>
      </c>
      <c r="BP13" s="47"/>
      <c r="BQ13" s="47" t="e">
        <f t="shared" si="22"/>
        <v>#REF!</v>
      </c>
      <c r="BR13" s="47" t="e">
        <f>VLOOKUP($AA13,#REF!,4,0)*(+BO13+BP13)</f>
        <v>#REF!</v>
      </c>
      <c r="BS13" s="47" t="e">
        <f>VLOOKUP($AB13,#REF!,4,0)*(+BO13+BP13)</f>
        <v>#REF!</v>
      </c>
      <c r="BV13" s="47"/>
      <c r="BY13" s="47" t="e">
        <f t="shared" si="18"/>
        <v>#REF!</v>
      </c>
      <c r="CD13" s="47" t="e">
        <f t="shared" si="7"/>
        <v>#REF!</v>
      </c>
      <c r="CE13" s="66"/>
      <c r="CF13" s="47" t="e">
        <f t="shared" si="8"/>
        <v>#REF!</v>
      </c>
      <c r="CG13" s="47"/>
      <c r="CH13" s="47" t="e">
        <f t="shared" si="23"/>
        <v>#REF!</v>
      </c>
      <c r="CI13" s="47" t="e">
        <f>VLOOKUP($AA13,#REF!,5,0)*(+CF13+CG13)</f>
        <v>#REF!</v>
      </c>
      <c r="CJ13" s="47" t="e">
        <f>VLOOKUP($AB13,#REF!,5,0)*(+CF13+CG13)</f>
        <v>#REF!</v>
      </c>
      <c r="CM13" s="47"/>
      <c r="CO13" s="47" t="e">
        <f t="shared" si="9"/>
        <v>#REF!</v>
      </c>
      <c r="CT13" s="47" t="e">
        <f t="shared" si="10"/>
        <v>#REF!</v>
      </c>
      <c r="CU13" s="66"/>
      <c r="CV13" s="47" t="e">
        <f t="shared" si="11"/>
        <v>#REF!</v>
      </c>
      <c r="CW13" s="47"/>
      <c r="CX13" s="47" t="e">
        <f t="shared" si="24"/>
        <v>#REF!</v>
      </c>
      <c r="CY13" s="47" t="e">
        <f>VLOOKUP($AA13,#REF!,6,0)*(+CV13+CW13)</f>
        <v>#REF!</v>
      </c>
      <c r="CZ13" s="47" t="e">
        <f>VLOOKUP($AB13,#REF!,6,0)*(+CV13+CW13)</f>
        <v>#REF!</v>
      </c>
      <c r="DC13" s="47"/>
      <c r="DE13" s="47" t="e">
        <f t="shared" si="12"/>
        <v>#REF!</v>
      </c>
      <c r="DJ13" s="47" t="e">
        <f t="shared" si="13"/>
        <v>#REF!</v>
      </c>
      <c r="DK13" s="66"/>
      <c r="DL13" s="47" t="e">
        <f t="shared" si="14"/>
        <v>#REF!</v>
      </c>
      <c r="DM13" s="47"/>
      <c r="DN13" s="47" t="e">
        <f t="shared" si="25"/>
        <v>#REF!</v>
      </c>
      <c r="DO13" s="47" t="e">
        <f>VLOOKUP($AA13,#REF!,7,0)*(+DL13+DM13)</f>
        <v>#REF!</v>
      </c>
      <c r="DP13" s="47" t="e">
        <f>VLOOKUP($AB13,#REF!,7,0)*(+DL13+DM13)</f>
        <v>#REF!</v>
      </c>
      <c r="DS13" s="47"/>
      <c r="DU13" s="47" t="e">
        <f t="shared" si="15"/>
        <v>#REF!</v>
      </c>
      <c r="DZ13" s="47" t="e">
        <f t="shared" si="16"/>
        <v>#REF!</v>
      </c>
      <c r="EA13" s="66"/>
    </row>
    <row r="14" spans="1:131" x14ac:dyDescent="0.2">
      <c r="A14" s="38" t="s">
        <v>374</v>
      </c>
      <c r="B14" s="39" t="s">
        <v>75</v>
      </c>
      <c r="C14" s="39" t="s">
        <v>76</v>
      </c>
      <c r="D14" s="49" t="s">
        <v>330</v>
      </c>
      <c r="E14" s="40">
        <v>3172001</v>
      </c>
      <c r="F14" s="41"/>
      <c r="G14" s="41"/>
      <c r="H14" s="41"/>
      <c r="I14" s="41"/>
      <c r="J14" s="41">
        <v>4074093</v>
      </c>
      <c r="K14" s="103">
        <v>-7256000</v>
      </c>
      <c r="L14" s="41"/>
      <c r="M14" s="41"/>
      <c r="N14" s="41"/>
      <c r="O14" s="41"/>
      <c r="P14" s="41"/>
      <c r="Q14" s="41"/>
      <c r="R14" s="41"/>
      <c r="S14" s="41">
        <f t="shared" si="19"/>
        <v>241.60975609756102</v>
      </c>
      <c r="T14" s="42">
        <f t="shared" si="0"/>
        <v>-9664.3902439024387</v>
      </c>
      <c r="U14" s="43"/>
      <c r="V14" s="141">
        <v>167191.60975609755</v>
      </c>
      <c r="W14" s="142" t="s">
        <v>367</v>
      </c>
      <c r="X14" s="142">
        <v>5</v>
      </c>
      <c r="Y14" s="171" t="s">
        <v>423</v>
      </c>
      <c r="Z14" s="171" t="s">
        <v>428</v>
      </c>
      <c r="AA14" s="44" t="s">
        <v>282</v>
      </c>
      <c r="AB14" s="187" t="s">
        <v>456</v>
      </c>
      <c r="AC14" s="10">
        <f t="shared" si="20"/>
        <v>-241.60975609756099</v>
      </c>
      <c r="AD14" s="13">
        <v>-227.83799999999999</v>
      </c>
      <c r="AE14" s="10"/>
      <c r="AF14" s="10"/>
      <c r="AG14" s="45"/>
      <c r="AH14" s="45"/>
      <c r="AI14" s="45">
        <f t="shared" si="1"/>
        <v>386.57560975609755</v>
      </c>
      <c r="AJ14" s="41"/>
      <c r="AK14" s="45"/>
      <c r="AL14" s="45"/>
      <c r="AN14" s="128">
        <v>0</v>
      </c>
      <c r="AO14" s="45"/>
      <c r="AP14" s="46">
        <f t="shared" si="2"/>
        <v>167108.73760975609</v>
      </c>
      <c r="AQ14" s="47"/>
      <c r="AW14" s="48">
        <f t="shared" si="3"/>
        <v>167108.73760975609</v>
      </c>
      <c r="AX14" s="66"/>
      <c r="AY14" s="47">
        <f t="shared" si="4"/>
        <v>167350.34736585364</v>
      </c>
      <c r="AZ14" s="249">
        <v>206000</v>
      </c>
      <c r="BA14" s="47">
        <f t="shared" si="21"/>
        <v>7933.6948815243886</v>
      </c>
      <c r="BB14" s="47" t="e">
        <f>VLOOKUP($AA14,#REF!,3,0)*(+AY14+AZ14)</f>
        <v>#REF!</v>
      </c>
      <c r="BC14" s="47" t="e">
        <f>VLOOKUP($AB14,#REF!,3,0)*(+AY14+AZ14)</f>
        <v>#REF!</v>
      </c>
      <c r="BE14" s="47"/>
      <c r="BF14" s="47"/>
      <c r="BH14" s="47" t="e">
        <f t="shared" si="5"/>
        <v>#REF!</v>
      </c>
      <c r="BM14" s="47" t="e">
        <f t="shared" si="17"/>
        <v>#REF!</v>
      </c>
      <c r="BN14" s="66"/>
      <c r="BO14" s="47" t="e">
        <f t="shared" si="6"/>
        <v>#REF!</v>
      </c>
      <c r="BP14" s="47"/>
      <c r="BQ14" s="47" t="e">
        <f t="shared" si="22"/>
        <v>#REF!</v>
      </c>
      <c r="BR14" s="47" t="e">
        <f>VLOOKUP($AA14,#REF!,4,0)*(+BO14+BP14)</f>
        <v>#REF!</v>
      </c>
      <c r="BS14" s="47" t="e">
        <f>VLOOKUP($AB14,#REF!,4,0)*(+BO14+BP14)</f>
        <v>#REF!</v>
      </c>
      <c r="BV14" s="47"/>
      <c r="BY14" s="47" t="e">
        <f t="shared" si="18"/>
        <v>#REF!</v>
      </c>
      <c r="CD14" s="47" t="e">
        <f t="shared" si="7"/>
        <v>#REF!</v>
      </c>
      <c r="CE14" s="66"/>
      <c r="CF14" s="47" t="e">
        <f t="shared" si="8"/>
        <v>#REF!</v>
      </c>
      <c r="CG14" s="47"/>
      <c r="CH14" s="47" t="e">
        <f t="shared" si="23"/>
        <v>#REF!</v>
      </c>
      <c r="CI14" s="47" t="e">
        <f>VLOOKUP($AA14,#REF!,5,0)*(+CF14+CG14)</f>
        <v>#REF!</v>
      </c>
      <c r="CJ14" s="47" t="e">
        <f>VLOOKUP($AB14,#REF!,5,0)*(+CF14+CG14)</f>
        <v>#REF!</v>
      </c>
      <c r="CM14" s="47"/>
      <c r="CO14" s="47" t="e">
        <f t="shared" si="9"/>
        <v>#REF!</v>
      </c>
      <c r="CT14" s="47" t="e">
        <f t="shared" si="10"/>
        <v>#REF!</v>
      </c>
      <c r="CU14" s="66"/>
      <c r="CV14" s="47" t="e">
        <f t="shared" si="11"/>
        <v>#REF!</v>
      </c>
      <c r="CW14" s="47"/>
      <c r="CX14" s="47" t="e">
        <f t="shared" si="24"/>
        <v>#REF!</v>
      </c>
      <c r="CY14" s="47" t="e">
        <f>VLOOKUP($AA14,#REF!,6,0)*(+CV14+CW14)</f>
        <v>#REF!</v>
      </c>
      <c r="CZ14" s="47" t="e">
        <f>VLOOKUP($AB14,#REF!,6,0)*(+CV14+CW14)</f>
        <v>#REF!</v>
      </c>
      <c r="DC14" s="47"/>
      <c r="DE14" s="47" t="e">
        <f t="shared" si="12"/>
        <v>#REF!</v>
      </c>
      <c r="DJ14" s="47" t="e">
        <f t="shared" si="13"/>
        <v>#REF!</v>
      </c>
      <c r="DK14" s="66"/>
      <c r="DL14" s="47" t="e">
        <f t="shared" si="14"/>
        <v>#REF!</v>
      </c>
      <c r="DM14" s="47"/>
      <c r="DN14" s="47" t="e">
        <f t="shared" si="25"/>
        <v>#REF!</v>
      </c>
      <c r="DO14" s="47" t="e">
        <f>VLOOKUP($AA14,#REF!,7,0)*(+DL14+DM14)</f>
        <v>#REF!</v>
      </c>
      <c r="DP14" s="47" t="e">
        <f>VLOOKUP($AB14,#REF!,7,0)*(+DL14+DM14)</f>
        <v>#REF!</v>
      </c>
      <c r="DS14" s="47"/>
      <c r="DU14" s="47" t="e">
        <f t="shared" si="15"/>
        <v>#REF!</v>
      </c>
      <c r="DZ14" s="47" t="e">
        <f t="shared" si="16"/>
        <v>#REF!</v>
      </c>
      <c r="EA14" s="66"/>
    </row>
    <row r="15" spans="1:131" x14ac:dyDescent="0.2">
      <c r="A15" s="38" t="s">
        <v>377</v>
      </c>
      <c r="B15" s="49" t="s">
        <v>80</v>
      </c>
      <c r="C15" s="39" t="s">
        <v>81</v>
      </c>
      <c r="D15" s="49" t="s">
        <v>332</v>
      </c>
      <c r="E15" s="40">
        <v>139275895</v>
      </c>
      <c r="F15" s="41">
        <v>1536350</v>
      </c>
      <c r="G15" s="41"/>
      <c r="H15" s="41">
        <f>-140000+3224646</f>
        <v>3084646</v>
      </c>
      <c r="I15" s="41"/>
      <c r="J15" s="41">
        <f>-6663357</f>
        <v>-6663357</v>
      </c>
      <c r="K15" s="103">
        <v>-768000</v>
      </c>
      <c r="L15" s="41"/>
      <c r="M15" s="41"/>
      <c r="N15" s="41"/>
      <c r="O15" s="41"/>
      <c r="P15" s="41"/>
      <c r="Q15" s="41"/>
      <c r="R15" s="41"/>
      <c r="S15" s="41">
        <f t="shared" si="19"/>
        <v>-3328427.658536586</v>
      </c>
      <c r="T15" s="42">
        <f t="shared" si="0"/>
        <v>133137106.34146342</v>
      </c>
      <c r="U15" s="43"/>
      <c r="V15" s="141">
        <v>133137106.34146342</v>
      </c>
      <c r="W15" s="142" t="s">
        <v>367</v>
      </c>
      <c r="X15" s="142">
        <v>1</v>
      </c>
      <c r="Y15" s="172" t="s">
        <v>424</v>
      </c>
      <c r="Z15" s="171" t="s">
        <v>428</v>
      </c>
      <c r="AA15" s="44" t="s">
        <v>282</v>
      </c>
      <c r="AB15" s="187" t="s">
        <v>456</v>
      </c>
      <c r="AC15" s="10">
        <f t="shared" si="20"/>
        <v>3328427.6585365855</v>
      </c>
      <c r="AD15" s="13">
        <v>3138707.2820000001</v>
      </c>
      <c r="AE15" s="10"/>
      <c r="AF15" s="10"/>
      <c r="AG15" s="45"/>
      <c r="AH15" s="45"/>
      <c r="AI15" s="45">
        <f t="shared" si="1"/>
        <v>-5325484.2536585368</v>
      </c>
      <c r="AJ15" s="41"/>
      <c r="AK15" s="45"/>
      <c r="AL15" s="45"/>
      <c r="AN15" s="128">
        <v>334324</v>
      </c>
      <c r="AO15" s="45"/>
      <c r="AP15" s="46">
        <f t="shared" si="2"/>
        <v>134613081.02834147</v>
      </c>
      <c r="AQ15" s="47"/>
      <c r="AW15" s="48">
        <f t="shared" si="3"/>
        <v>134613081.02834147</v>
      </c>
      <c r="AX15" s="66"/>
      <c r="AY15" s="47">
        <f t="shared" si="4"/>
        <v>131284653.36980489</v>
      </c>
      <c r="AZ15" s="249">
        <f>1741000-561000+10000+1500-92000</f>
        <v>1099500</v>
      </c>
      <c r="BA15" s="47">
        <f t="shared" si="21"/>
        <v>2813163.2591083539</v>
      </c>
      <c r="BB15" s="47" t="e">
        <f>VLOOKUP($AA15,#REF!,3,0)*(+AY15+AZ15)</f>
        <v>#REF!</v>
      </c>
      <c r="BC15" s="47" t="e">
        <f>VLOOKUP($AB15,#REF!,3,0)*(+AY15+AZ15)</f>
        <v>#REF!</v>
      </c>
      <c r="BD15" s="47"/>
      <c r="BE15" s="47"/>
      <c r="BF15" s="47"/>
      <c r="BG15" s="47"/>
      <c r="BH15" s="47" t="e">
        <f t="shared" si="5"/>
        <v>#REF!</v>
      </c>
      <c r="BM15" s="47" t="e">
        <f t="shared" si="17"/>
        <v>#REF!</v>
      </c>
      <c r="BN15" s="66"/>
      <c r="BO15" s="47" t="e">
        <f t="shared" si="6"/>
        <v>#REF!</v>
      </c>
      <c r="BP15" s="47"/>
      <c r="BQ15" s="47" t="e">
        <f t="shared" si="22"/>
        <v>#REF!</v>
      </c>
      <c r="BR15" s="47" t="e">
        <f>VLOOKUP($AA15,#REF!,4,0)*(+BO15+BP15)</f>
        <v>#REF!</v>
      </c>
      <c r="BS15" s="47" t="e">
        <f>VLOOKUP($AB15,#REF!,4,0)*(+BO15+BP15)</f>
        <v>#REF!</v>
      </c>
      <c r="BV15" s="47"/>
      <c r="BY15" s="47" t="e">
        <f t="shared" si="18"/>
        <v>#REF!</v>
      </c>
      <c r="CD15" s="47" t="e">
        <f t="shared" si="7"/>
        <v>#REF!</v>
      </c>
      <c r="CE15" s="66"/>
      <c r="CF15" s="47" t="e">
        <f t="shared" si="8"/>
        <v>#REF!</v>
      </c>
      <c r="CG15" s="47"/>
      <c r="CH15" s="47" t="e">
        <f t="shared" si="23"/>
        <v>#REF!</v>
      </c>
      <c r="CI15" s="47" t="e">
        <f>VLOOKUP($AA15,#REF!,5,0)*(+CF15+CG15)</f>
        <v>#REF!</v>
      </c>
      <c r="CJ15" s="47" t="e">
        <f>VLOOKUP($AB15,#REF!,5,0)*(+CF15+CG15)</f>
        <v>#REF!</v>
      </c>
      <c r="CM15" s="47"/>
      <c r="CO15" s="47" t="e">
        <f t="shared" si="9"/>
        <v>#REF!</v>
      </c>
      <c r="CT15" s="47" t="e">
        <f t="shared" si="10"/>
        <v>#REF!</v>
      </c>
      <c r="CU15" s="66"/>
      <c r="CV15" s="47" t="e">
        <f t="shared" si="11"/>
        <v>#REF!</v>
      </c>
      <c r="CW15" s="47"/>
      <c r="CX15" s="47" t="e">
        <f t="shared" si="24"/>
        <v>#REF!</v>
      </c>
      <c r="CY15" s="47" t="e">
        <f>VLOOKUP($AA15,#REF!,6,0)*(+CV15+CW15)</f>
        <v>#REF!</v>
      </c>
      <c r="CZ15" s="47" t="e">
        <f>VLOOKUP($AB15,#REF!,6,0)*(+CV15+CW15)</f>
        <v>#REF!</v>
      </c>
      <c r="DC15" s="47"/>
      <c r="DE15" s="47" t="e">
        <f t="shared" si="12"/>
        <v>#REF!</v>
      </c>
      <c r="DJ15" s="47" t="e">
        <f t="shared" si="13"/>
        <v>#REF!</v>
      </c>
      <c r="DK15" s="66"/>
      <c r="DL15" s="47" t="e">
        <f t="shared" si="14"/>
        <v>#REF!</v>
      </c>
      <c r="DM15" s="47"/>
      <c r="DN15" s="47" t="e">
        <f t="shared" si="25"/>
        <v>#REF!</v>
      </c>
      <c r="DO15" s="47" t="e">
        <f>VLOOKUP($AA15,#REF!,7,0)*(+DL15+DM15)</f>
        <v>#REF!</v>
      </c>
      <c r="DP15" s="47" t="e">
        <f>VLOOKUP($AB15,#REF!,7,0)*(+DL15+DM15)</f>
        <v>#REF!</v>
      </c>
      <c r="DS15" s="47"/>
      <c r="DU15" s="47" t="e">
        <f t="shared" si="15"/>
        <v>#REF!</v>
      </c>
      <c r="DZ15" s="47" t="e">
        <f t="shared" si="16"/>
        <v>#REF!</v>
      </c>
      <c r="EA15" s="66"/>
    </row>
    <row r="16" spans="1:131" x14ac:dyDescent="0.2">
      <c r="A16" s="38" t="s">
        <v>377</v>
      </c>
      <c r="B16" s="49" t="s">
        <v>317</v>
      </c>
      <c r="C16" s="39" t="s">
        <v>81</v>
      </c>
      <c r="D16" s="39"/>
      <c r="E16" s="40"/>
      <c r="F16" s="41"/>
      <c r="G16" s="41"/>
      <c r="H16" s="41">
        <v>140000</v>
      </c>
      <c r="I16" s="41"/>
      <c r="J16" s="41"/>
      <c r="K16" s="51"/>
      <c r="L16" s="41"/>
      <c r="M16" s="41"/>
      <c r="N16" s="41"/>
      <c r="O16" s="41"/>
      <c r="P16" s="41"/>
      <c r="Q16" s="41"/>
      <c r="R16" s="41"/>
      <c r="S16" s="41">
        <f t="shared" si="19"/>
        <v>-3414.6341463414642</v>
      </c>
      <c r="T16" s="42">
        <f t="shared" si="0"/>
        <v>136585.36585365853</v>
      </c>
      <c r="U16" s="43"/>
      <c r="V16" s="141">
        <v>136585.36585365853</v>
      </c>
      <c r="W16" s="142" t="s">
        <v>367</v>
      </c>
      <c r="X16" s="142">
        <v>1</v>
      </c>
      <c r="Y16" s="172" t="s">
        <v>424</v>
      </c>
      <c r="Z16" s="171" t="s">
        <v>428</v>
      </c>
      <c r="AA16" s="44" t="s">
        <v>282</v>
      </c>
      <c r="AB16" s="187" t="s">
        <v>456</v>
      </c>
      <c r="AC16" s="10">
        <f t="shared" si="20"/>
        <v>3414.6341463414633</v>
      </c>
      <c r="AD16" s="13">
        <v>3220</v>
      </c>
      <c r="AE16" s="10"/>
      <c r="AF16" s="10"/>
      <c r="AG16" s="45"/>
      <c r="AH16" s="45"/>
      <c r="AI16" s="45">
        <f t="shared" si="1"/>
        <v>-5463.4146341463411</v>
      </c>
      <c r="AJ16" s="41"/>
      <c r="AK16" s="45"/>
      <c r="AL16" s="45"/>
      <c r="AN16" s="128">
        <v>2243</v>
      </c>
      <c r="AO16" s="45"/>
      <c r="AP16" s="46">
        <f t="shared" si="2"/>
        <v>139999.58536585365</v>
      </c>
      <c r="AQ16" s="47"/>
      <c r="AW16" s="48">
        <f t="shared" si="3"/>
        <v>139999.58536585365</v>
      </c>
      <c r="AX16" s="66"/>
      <c r="AY16" s="47">
        <f t="shared" si="4"/>
        <v>136584.95121951218</v>
      </c>
      <c r="AZ16" s="47"/>
      <c r="BA16" s="47">
        <f t="shared" si="21"/>
        <v>2902.4302134146337</v>
      </c>
      <c r="BB16" s="47" t="e">
        <f>VLOOKUP($AA16,#REF!,3,0)*(+AY16+AZ16)</f>
        <v>#REF!</v>
      </c>
      <c r="BC16" s="47" t="e">
        <f>VLOOKUP($AB16,#REF!,3,0)*(+AY16+AZ16)</f>
        <v>#REF!</v>
      </c>
      <c r="BE16" s="47"/>
      <c r="BF16" s="47"/>
      <c r="BH16" s="47" t="e">
        <f t="shared" si="5"/>
        <v>#REF!</v>
      </c>
      <c r="BM16" s="47" t="e">
        <f t="shared" si="17"/>
        <v>#REF!</v>
      </c>
      <c r="BN16" s="66"/>
      <c r="BO16" s="47" t="e">
        <f t="shared" si="6"/>
        <v>#REF!</v>
      </c>
      <c r="BP16" s="47"/>
      <c r="BQ16" s="47" t="e">
        <f t="shared" si="22"/>
        <v>#REF!</v>
      </c>
      <c r="BR16" s="47" t="e">
        <f>VLOOKUP($AA16,#REF!,4,0)*(+BO16+BP16)</f>
        <v>#REF!</v>
      </c>
      <c r="BS16" s="47" t="e">
        <f>VLOOKUP($AB16,#REF!,4,0)*(+BO16+BP16)</f>
        <v>#REF!</v>
      </c>
      <c r="BV16" s="47"/>
      <c r="BY16" s="47" t="e">
        <f t="shared" si="18"/>
        <v>#REF!</v>
      </c>
      <c r="CD16" s="47" t="e">
        <f t="shared" si="7"/>
        <v>#REF!</v>
      </c>
      <c r="CE16" s="66"/>
      <c r="CF16" s="47" t="e">
        <f t="shared" si="8"/>
        <v>#REF!</v>
      </c>
      <c r="CG16" s="47"/>
      <c r="CH16" s="47" t="e">
        <f t="shared" si="23"/>
        <v>#REF!</v>
      </c>
      <c r="CI16" s="47" t="e">
        <f>VLOOKUP($AA16,#REF!,5,0)*(+CF16+CG16)</f>
        <v>#REF!</v>
      </c>
      <c r="CJ16" s="47" t="e">
        <f>VLOOKUP($AB16,#REF!,5,0)*(+CF16+CG16)</f>
        <v>#REF!</v>
      </c>
      <c r="CM16" s="47"/>
      <c r="CO16" s="47" t="e">
        <f t="shared" si="9"/>
        <v>#REF!</v>
      </c>
      <c r="CT16" s="47" t="e">
        <f t="shared" si="10"/>
        <v>#REF!</v>
      </c>
      <c r="CU16" s="66"/>
      <c r="CV16" s="47" t="e">
        <f t="shared" si="11"/>
        <v>#REF!</v>
      </c>
      <c r="CW16" s="47"/>
      <c r="CX16" s="47" t="e">
        <f t="shared" si="24"/>
        <v>#REF!</v>
      </c>
      <c r="CY16" s="47" t="e">
        <f>VLOOKUP($AA16,#REF!,6,0)*(+CV16+CW16)</f>
        <v>#REF!</v>
      </c>
      <c r="CZ16" s="47" t="e">
        <f>VLOOKUP($AB16,#REF!,6,0)*(+CV16+CW16)</f>
        <v>#REF!</v>
      </c>
      <c r="DC16" s="47"/>
      <c r="DE16" s="47" t="e">
        <f t="shared" si="12"/>
        <v>#REF!</v>
      </c>
      <c r="DJ16" s="47" t="e">
        <f t="shared" si="13"/>
        <v>#REF!</v>
      </c>
      <c r="DK16" s="66"/>
      <c r="DL16" s="47" t="e">
        <f t="shared" si="14"/>
        <v>#REF!</v>
      </c>
      <c r="DM16" s="47"/>
      <c r="DN16" s="47" t="e">
        <f t="shared" si="25"/>
        <v>#REF!</v>
      </c>
      <c r="DO16" s="47" t="e">
        <f>VLOOKUP($AA16,#REF!,7,0)*(+DL16+DM16)</f>
        <v>#REF!</v>
      </c>
      <c r="DP16" s="47" t="e">
        <f>VLOOKUP($AB16,#REF!,7,0)*(+DL16+DM16)</f>
        <v>#REF!</v>
      </c>
      <c r="DS16" s="47"/>
      <c r="DU16" s="47" t="e">
        <f t="shared" si="15"/>
        <v>#REF!</v>
      </c>
      <c r="DZ16" s="47" t="e">
        <f t="shared" si="16"/>
        <v>#REF!</v>
      </c>
      <c r="EA16" s="66"/>
    </row>
    <row r="17" spans="1:131" x14ac:dyDescent="0.2">
      <c r="A17" s="38" t="s">
        <v>374</v>
      </c>
      <c r="B17" s="39" t="s">
        <v>82</v>
      </c>
      <c r="C17" s="39" t="s">
        <v>83</v>
      </c>
      <c r="D17" s="49" t="s">
        <v>334</v>
      </c>
      <c r="E17" s="40">
        <v>1277225</v>
      </c>
      <c r="F17" s="41"/>
      <c r="G17" s="41"/>
      <c r="H17" s="41"/>
      <c r="I17" s="41"/>
      <c r="J17" s="41">
        <v>-20265</v>
      </c>
      <c r="K17" s="103">
        <v>-7000</v>
      </c>
      <c r="L17" s="41"/>
      <c r="M17" s="41"/>
      <c r="N17" s="41"/>
      <c r="O17" s="41"/>
      <c r="P17" s="41"/>
      <c r="Q17" s="41"/>
      <c r="R17" s="41"/>
      <c r="S17" s="41">
        <f t="shared" si="19"/>
        <v>-30486.829268292688</v>
      </c>
      <c r="T17" s="42">
        <f t="shared" si="0"/>
        <v>1219473.1707317072</v>
      </c>
      <c r="U17" s="43"/>
      <c r="V17" s="141">
        <v>1306030.1707317072</v>
      </c>
      <c r="W17" s="142" t="s">
        <v>367</v>
      </c>
      <c r="X17" s="142">
        <v>5</v>
      </c>
      <c r="Y17" s="171" t="s">
        <v>423</v>
      </c>
      <c r="Z17" s="171" t="s">
        <v>428</v>
      </c>
      <c r="AA17" s="44" t="s">
        <v>282</v>
      </c>
      <c r="AB17" s="187" t="s">
        <v>456</v>
      </c>
      <c r="AC17" s="10">
        <f t="shared" si="20"/>
        <v>30486.829268292684</v>
      </c>
      <c r="AD17" s="13">
        <v>28749.079999999998</v>
      </c>
      <c r="AE17" s="10"/>
      <c r="AF17" s="10"/>
      <c r="AG17" s="45"/>
      <c r="AH17" s="45"/>
      <c r="AI17" s="45">
        <f t="shared" si="1"/>
        <v>-48778.92682926829</v>
      </c>
      <c r="AJ17" s="41"/>
      <c r="AK17" s="45"/>
      <c r="AL17" s="45"/>
      <c r="AN17" s="128">
        <v>0</v>
      </c>
      <c r="AO17" s="45"/>
      <c r="AP17" s="46">
        <f t="shared" si="2"/>
        <v>1316487.1531707316</v>
      </c>
      <c r="AQ17" s="47"/>
      <c r="AR17" s="54"/>
      <c r="AS17" s="54"/>
      <c r="AW17" s="48">
        <f t="shared" si="3"/>
        <v>1316487.1531707316</v>
      </c>
      <c r="AX17" s="66"/>
      <c r="AY17" s="47">
        <f t="shared" si="4"/>
        <v>1286000.3239024389</v>
      </c>
      <c r="AZ17" s="249">
        <v>-156000</v>
      </c>
      <c r="BA17" s="47">
        <f t="shared" si="21"/>
        <v>24012.506882926828</v>
      </c>
      <c r="BB17" s="47" t="e">
        <f>VLOOKUP($AA17,#REF!,3,0)*(+AY17+AZ17)</f>
        <v>#REF!</v>
      </c>
      <c r="BC17" s="47" t="e">
        <f>VLOOKUP($AB17,#REF!,3,0)*(+AY17+AZ17)</f>
        <v>#REF!</v>
      </c>
      <c r="BE17" s="47"/>
      <c r="BF17" s="47"/>
      <c r="BH17" s="47" t="e">
        <f t="shared" si="5"/>
        <v>#REF!</v>
      </c>
      <c r="BM17" s="47" t="e">
        <f t="shared" si="17"/>
        <v>#REF!</v>
      </c>
      <c r="BN17" s="66"/>
      <c r="BO17" s="47" t="e">
        <f t="shared" si="6"/>
        <v>#REF!</v>
      </c>
      <c r="BP17" s="47"/>
      <c r="BQ17" s="47" t="e">
        <f t="shared" si="22"/>
        <v>#REF!</v>
      </c>
      <c r="BR17" s="47" t="e">
        <f>VLOOKUP($AA17,#REF!,4,0)*(+BO17+BP17)</f>
        <v>#REF!</v>
      </c>
      <c r="BS17" s="47" t="e">
        <f>VLOOKUP($AB17,#REF!,4,0)*(+BO17+BP17)</f>
        <v>#REF!</v>
      </c>
      <c r="BV17" s="47"/>
      <c r="BY17" s="47" t="e">
        <f t="shared" si="18"/>
        <v>#REF!</v>
      </c>
      <c r="CD17" s="47" t="e">
        <f t="shared" si="7"/>
        <v>#REF!</v>
      </c>
      <c r="CE17" s="66"/>
      <c r="CF17" s="47" t="e">
        <f t="shared" si="8"/>
        <v>#REF!</v>
      </c>
      <c r="CG17" s="47"/>
      <c r="CH17" s="47" t="e">
        <f t="shared" si="23"/>
        <v>#REF!</v>
      </c>
      <c r="CI17" s="47" t="e">
        <f>VLOOKUP($AA17,#REF!,5,0)*(+CF17+CG17)</f>
        <v>#REF!</v>
      </c>
      <c r="CJ17" s="47" t="e">
        <f>VLOOKUP($AB17,#REF!,5,0)*(+CF17+CG17)</f>
        <v>#REF!</v>
      </c>
      <c r="CM17" s="47"/>
      <c r="CO17" s="47" t="e">
        <f t="shared" si="9"/>
        <v>#REF!</v>
      </c>
      <c r="CT17" s="47" t="e">
        <f t="shared" si="10"/>
        <v>#REF!</v>
      </c>
      <c r="CU17" s="66"/>
      <c r="CV17" s="47" t="e">
        <f t="shared" si="11"/>
        <v>#REF!</v>
      </c>
      <c r="CW17" s="47"/>
      <c r="CX17" s="47" t="e">
        <f t="shared" si="24"/>
        <v>#REF!</v>
      </c>
      <c r="CY17" s="47" t="e">
        <f>VLOOKUP($AA17,#REF!,6,0)*(+CV17+CW17)</f>
        <v>#REF!</v>
      </c>
      <c r="CZ17" s="47" t="e">
        <f>VLOOKUP($AB17,#REF!,6,0)*(+CV17+CW17)</f>
        <v>#REF!</v>
      </c>
      <c r="DC17" s="47"/>
      <c r="DE17" s="47" t="e">
        <f t="shared" si="12"/>
        <v>#REF!</v>
      </c>
      <c r="DJ17" s="47" t="e">
        <f t="shared" si="13"/>
        <v>#REF!</v>
      </c>
      <c r="DK17" s="66"/>
      <c r="DL17" s="47" t="e">
        <f t="shared" si="14"/>
        <v>#REF!</v>
      </c>
      <c r="DM17" s="47"/>
      <c r="DN17" s="47" t="e">
        <f t="shared" si="25"/>
        <v>#REF!</v>
      </c>
      <c r="DO17" s="47" t="e">
        <f>VLOOKUP($AA17,#REF!,7,0)*(+DL17+DM17)</f>
        <v>#REF!</v>
      </c>
      <c r="DP17" s="47" t="e">
        <f>VLOOKUP($AB17,#REF!,7,0)*(+DL17+DM17)</f>
        <v>#REF!</v>
      </c>
      <c r="DS17" s="47"/>
      <c r="DU17" s="47" t="e">
        <f t="shared" si="15"/>
        <v>#REF!</v>
      </c>
      <c r="DZ17" s="47" t="e">
        <f t="shared" si="16"/>
        <v>#REF!</v>
      </c>
      <c r="EA17" s="66"/>
    </row>
    <row r="18" spans="1:131" x14ac:dyDescent="0.2">
      <c r="A18" s="38" t="s">
        <v>374</v>
      </c>
      <c r="B18" s="39" t="s">
        <v>84</v>
      </c>
      <c r="C18" s="39" t="s">
        <v>85</v>
      </c>
      <c r="D18" s="49" t="s">
        <v>331</v>
      </c>
      <c r="E18" s="40">
        <v>377039</v>
      </c>
      <c r="F18" s="41"/>
      <c r="G18" s="41"/>
      <c r="H18" s="41"/>
      <c r="I18" s="41"/>
      <c r="J18" s="41">
        <v>-202951</v>
      </c>
      <c r="K18" s="51"/>
      <c r="L18" s="41"/>
      <c r="M18" s="41"/>
      <c r="N18" s="41"/>
      <c r="O18" s="41"/>
      <c r="P18" s="41"/>
      <c r="Q18" s="41"/>
      <c r="R18" s="41"/>
      <c r="S18" s="41">
        <f t="shared" si="19"/>
        <v>-4246.0487804878057</v>
      </c>
      <c r="T18" s="42">
        <f t="shared" si="0"/>
        <v>169841.95121951221</v>
      </c>
      <c r="U18" s="43"/>
      <c r="V18" s="141">
        <v>169841.95121951221</v>
      </c>
      <c r="W18" s="142" t="s">
        <v>367</v>
      </c>
      <c r="X18" s="142">
        <v>5</v>
      </c>
      <c r="Y18" s="171" t="s">
        <v>423</v>
      </c>
      <c r="Z18" s="171" t="s">
        <v>428</v>
      </c>
      <c r="AA18" s="44" t="s">
        <v>282</v>
      </c>
      <c r="AB18" s="187" t="s">
        <v>456</v>
      </c>
      <c r="AC18" s="10">
        <f t="shared" si="20"/>
        <v>4246.0487804878057</v>
      </c>
      <c r="AD18" s="13">
        <v>4004.0239999999999</v>
      </c>
      <c r="AE18" s="10"/>
      <c r="AF18" s="10"/>
      <c r="AG18" s="45"/>
      <c r="AH18" s="45"/>
      <c r="AI18" s="45">
        <f t="shared" si="1"/>
        <v>-6793.6780487804881</v>
      </c>
      <c r="AJ18" s="41"/>
      <c r="AK18" s="45"/>
      <c r="AL18" s="45"/>
      <c r="AN18" s="128">
        <v>0</v>
      </c>
      <c r="AO18" s="45"/>
      <c r="AP18" s="46">
        <f t="shared" si="2"/>
        <v>171298.34595121953</v>
      </c>
      <c r="AQ18" s="47"/>
      <c r="AW18" s="48">
        <f t="shared" si="3"/>
        <v>171298.34595121953</v>
      </c>
      <c r="AX18" s="66"/>
      <c r="AY18" s="47">
        <f t="shared" si="4"/>
        <v>167052.29717073173</v>
      </c>
      <c r="AZ18" s="47"/>
      <c r="BA18" s="47">
        <f t="shared" si="21"/>
        <v>3549.8613148780491</v>
      </c>
      <c r="BB18" s="47" t="e">
        <f>VLOOKUP($AA18,#REF!,3,0)*(+AY18+AZ18)</f>
        <v>#REF!</v>
      </c>
      <c r="BC18" s="47" t="e">
        <f>VLOOKUP($AB18,#REF!,3,0)*(+AY18+AZ18)</f>
        <v>#REF!</v>
      </c>
      <c r="BE18" s="47"/>
      <c r="BF18" s="47"/>
      <c r="BH18" s="47" t="e">
        <f t="shared" si="5"/>
        <v>#REF!</v>
      </c>
      <c r="BM18" s="47" t="e">
        <f t="shared" si="17"/>
        <v>#REF!</v>
      </c>
      <c r="BN18" s="66"/>
      <c r="BO18" s="47" t="e">
        <f t="shared" si="6"/>
        <v>#REF!</v>
      </c>
      <c r="BP18" s="47"/>
      <c r="BQ18" s="47" t="e">
        <f t="shared" si="22"/>
        <v>#REF!</v>
      </c>
      <c r="BR18" s="47" t="e">
        <f>VLOOKUP($AA18,#REF!,4,0)*(+BO18+BP18)</f>
        <v>#REF!</v>
      </c>
      <c r="BS18" s="47" t="e">
        <f>VLOOKUP($AB18,#REF!,4,0)*(+BO18+BP18)</f>
        <v>#REF!</v>
      </c>
      <c r="BV18" s="47"/>
      <c r="BY18" s="47" t="e">
        <f t="shared" si="18"/>
        <v>#REF!</v>
      </c>
      <c r="CD18" s="47" t="e">
        <f t="shared" si="7"/>
        <v>#REF!</v>
      </c>
      <c r="CE18" s="66"/>
      <c r="CF18" s="47" t="e">
        <f t="shared" si="8"/>
        <v>#REF!</v>
      </c>
      <c r="CG18" s="47"/>
      <c r="CH18" s="47" t="e">
        <f t="shared" si="23"/>
        <v>#REF!</v>
      </c>
      <c r="CI18" s="47" t="e">
        <f>VLOOKUP($AA18,#REF!,5,0)*(+CF18+CG18)</f>
        <v>#REF!</v>
      </c>
      <c r="CJ18" s="47" t="e">
        <f>VLOOKUP($AB18,#REF!,5,0)*(+CF18+CG18)</f>
        <v>#REF!</v>
      </c>
      <c r="CM18" s="47"/>
      <c r="CO18" s="47" t="e">
        <f t="shared" si="9"/>
        <v>#REF!</v>
      </c>
      <c r="CT18" s="47" t="e">
        <f t="shared" si="10"/>
        <v>#REF!</v>
      </c>
      <c r="CU18" s="66"/>
      <c r="CV18" s="47" t="e">
        <f t="shared" si="11"/>
        <v>#REF!</v>
      </c>
      <c r="CW18" s="47"/>
      <c r="CX18" s="47" t="e">
        <f t="shared" si="24"/>
        <v>#REF!</v>
      </c>
      <c r="CY18" s="47" t="e">
        <f>VLOOKUP($AA18,#REF!,6,0)*(+CV18+CW18)</f>
        <v>#REF!</v>
      </c>
      <c r="CZ18" s="47" t="e">
        <f>VLOOKUP($AB18,#REF!,6,0)*(+CV18+CW18)</f>
        <v>#REF!</v>
      </c>
      <c r="DC18" s="47"/>
      <c r="DE18" s="47" t="e">
        <f t="shared" si="12"/>
        <v>#REF!</v>
      </c>
      <c r="DJ18" s="47" t="e">
        <f t="shared" si="13"/>
        <v>#REF!</v>
      </c>
      <c r="DK18" s="66"/>
      <c r="DL18" s="47" t="e">
        <f t="shared" si="14"/>
        <v>#REF!</v>
      </c>
      <c r="DM18" s="47"/>
      <c r="DN18" s="47" t="e">
        <f t="shared" si="25"/>
        <v>#REF!</v>
      </c>
      <c r="DO18" s="47" t="e">
        <f>VLOOKUP($AA18,#REF!,7,0)*(+DL18+DM18)</f>
        <v>#REF!</v>
      </c>
      <c r="DP18" s="47" t="e">
        <f>VLOOKUP($AB18,#REF!,7,0)*(+DL18+DM18)</f>
        <v>#REF!</v>
      </c>
      <c r="DS18" s="47"/>
      <c r="DU18" s="47" t="e">
        <f t="shared" si="15"/>
        <v>#REF!</v>
      </c>
      <c r="DZ18" s="47" t="e">
        <f t="shared" si="16"/>
        <v>#REF!</v>
      </c>
      <c r="EA18" s="66"/>
    </row>
    <row r="19" spans="1:131" x14ac:dyDescent="0.2">
      <c r="A19" s="38" t="s">
        <v>374</v>
      </c>
      <c r="B19" s="39" t="s">
        <v>86</v>
      </c>
      <c r="C19" s="39" t="s">
        <v>87</v>
      </c>
      <c r="D19" s="49"/>
      <c r="E19" s="40">
        <v>273737</v>
      </c>
      <c r="F19" s="41"/>
      <c r="G19" s="41"/>
      <c r="H19" s="41"/>
      <c r="I19" s="41"/>
      <c r="J19" s="41">
        <v>2029</v>
      </c>
      <c r="K19" s="51"/>
      <c r="L19" s="41"/>
      <c r="M19" s="41"/>
      <c r="N19" s="41"/>
      <c r="O19" s="41"/>
      <c r="P19" s="41"/>
      <c r="Q19" s="41"/>
      <c r="R19" s="41"/>
      <c r="S19" s="41">
        <f t="shared" si="19"/>
        <v>-6726</v>
      </c>
      <c r="T19" s="42">
        <f t="shared" si="0"/>
        <v>269040</v>
      </c>
      <c r="U19" s="43"/>
      <c r="V19" s="141">
        <v>269040</v>
      </c>
      <c r="W19" s="142" t="s">
        <v>367</v>
      </c>
      <c r="X19" s="142">
        <v>5</v>
      </c>
      <c r="Y19" s="171" t="s">
        <v>423</v>
      </c>
      <c r="Z19" s="171" t="s">
        <v>428</v>
      </c>
      <c r="AA19" s="44" t="s">
        <v>282</v>
      </c>
      <c r="AB19" s="187" t="s">
        <v>456</v>
      </c>
      <c r="AC19" s="10">
        <f t="shared" si="20"/>
        <v>6726</v>
      </c>
      <c r="AD19" s="13">
        <v>6342.6179999999995</v>
      </c>
      <c r="AE19" s="10"/>
      <c r="AF19" s="10"/>
      <c r="AG19" s="45"/>
      <c r="AH19" s="45"/>
      <c r="AI19" s="45">
        <f t="shared" si="1"/>
        <v>-10761.6</v>
      </c>
      <c r="AJ19" s="41"/>
      <c r="AK19" s="45"/>
      <c r="AL19" s="45"/>
      <c r="AN19" s="128">
        <v>-177</v>
      </c>
      <c r="AO19" s="45"/>
      <c r="AP19" s="46">
        <f t="shared" si="2"/>
        <v>271170.01799999998</v>
      </c>
      <c r="AQ19" s="47"/>
      <c r="AW19" s="48">
        <f t="shared" si="3"/>
        <v>271170.01799999998</v>
      </c>
      <c r="AX19" s="66"/>
      <c r="AY19" s="47">
        <f t="shared" si="4"/>
        <v>264444.01799999998</v>
      </c>
      <c r="AZ19" s="47"/>
      <c r="BA19" s="47">
        <f t="shared" si="21"/>
        <v>5619.4353824999998</v>
      </c>
      <c r="BB19" s="47" t="e">
        <f>VLOOKUP($AA19,#REF!,3,0)*(+AY19+AZ19)</f>
        <v>#REF!</v>
      </c>
      <c r="BC19" s="47" t="e">
        <f>VLOOKUP($AB19,#REF!,3,0)*(+AY19+AZ19)</f>
        <v>#REF!</v>
      </c>
      <c r="BE19" s="47"/>
      <c r="BF19" s="47"/>
      <c r="BH19" s="47" t="e">
        <f t="shared" si="5"/>
        <v>#REF!</v>
      </c>
      <c r="BM19" s="47" t="e">
        <f t="shared" si="17"/>
        <v>#REF!</v>
      </c>
      <c r="BN19" s="66"/>
      <c r="BO19" s="47" t="e">
        <f t="shared" si="6"/>
        <v>#REF!</v>
      </c>
      <c r="BP19" s="47"/>
      <c r="BQ19" s="47" t="e">
        <f t="shared" si="22"/>
        <v>#REF!</v>
      </c>
      <c r="BR19" s="47" t="e">
        <f>VLOOKUP($AA19,#REF!,4,0)*(+BO19+BP19)</f>
        <v>#REF!</v>
      </c>
      <c r="BS19" s="47" t="e">
        <f>VLOOKUP($AB19,#REF!,4,0)*(+BO19+BP19)</f>
        <v>#REF!</v>
      </c>
      <c r="BV19" s="47"/>
      <c r="BY19" s="47" t="e">
        <f t="shared" si="18"/>
        <v>#REF!</v>
      </c>
      <c r="CD19" s="47" t="e">
        <f t="shared" si="7"/>
        <v>#REF!</v>
      </c>
      <c r="CE19" s="66"/>
      <c r="CF19" s="47" t="e">
        <f t="shared" si="8"/>
        <v>#REF!</v>
      </c>
      <c r="CG19" s="47"/>
      <c r="CH19" s="47" t="e">
        <f t="shared" si="23"/>
        <v>#REF!</v>
      </c>
      <c r="CI19" s="47" t="e">
        <f>VLOOKUP($AA19,#REF!,5,0)*(+CF19+CG19)</f>
        <v>#REF!</v>
      </c>
      <c r="CJ19" s="47" t="e">
        <f>VLOOKUP($AB19,#REF!,5,0)*(+CF19+CG19)</f>
        <v>#REF!</v>
      </c>
      <c r="CM19" s="47"/>
      <c r="CO19" s="47" t="e">
        <f t="shared" si="9"/>
        <v>#REF!</v>
      </c>
      <c r="CT19" s="47" t="e">
        <f t="shared" si="10"/>
        <v>#REF!</v>
      </c>
      <c r="CU19" s="66"/>
      <c r="CV19" s="47" t="e">
        <f t="shared" si="11"/>
        <v>#REF!</v>
      </c>
      <c r="CW19" s="47"/>
      <c r="CX19" s="47" t="e">
        <f t="shared" si="24"/>
        <v>#REF!</v>
      </c>
      <c r="CY19" s="47" t="e">
        <f>VLOOKUP($AA19,#REF!,6,0)*(+CV19+CW19)</f>
        <v>#REF!</v>
      </c>
      <c r="CZ19" s="47" t="e">
        <f>VLOOKUP($AB19,#REF!,6,0)*(+CV19+CW19)</f>
        <v>#REF!</v>
      </c>
      <c r="DC19" s="47"/>
      <c r="DE19" s="47" t="e">
        <f t="shared" si="12"/>
        <v>#REF!</v>
      </c>
      <c r="DJ19" s="47" t="e">
        <f t="shared" si="13"/>
        <v>#REF!</v>
      </c>
      <c r="DK19" s="66"/>
      <c r="DL19" s="47" t="e">
        <f t="shared" si="14"/>
        <v>#REF!</v>
      </c>
      <c r="DM19" s="47"/>
      <c r="DN19" s="47" t="e">
        <f t="shared" si="25"/>
        <v>#REF!</v>
      </c>
      <c r="DO19" s="47" t="e">
        <f>VLOOKUP($AA19,#REF!,7,0)*(+DL19+DM19)</f>
        <v>#REF!</v>
      </c>
      <c r="DP19" s="47" t="e">
        <f>VLOOKUP($AB19,#REF!,7,0)*(+DL19+DM19)</f>
        <v>#REF!</v>
      </c>
      <c r="DS19" s="47"/>
      <c r="DU19" s="47" t="e">
        <f t="shared" si="15"/>
        <v>#REF!</v>
      </c>
      <c r="DZ19" s="47" t="e">
        <f t="shared" si="16"/>
        <v>#REF!</v>
      </c>
      <c r="EA19" s="66"/>
    </row>
    <row r="20" spans="1:131" x14ac:dyDescent="0.2">
      <c r="A20" s="38" t="s">
        <v>374</v>
      </c>
      <c r="B20" s="39" t="s">
        <v>88</v>
      </c>
      <c r="C20" s="39" t="s">
        <v>89</v>
      </c>
      <c r="D20" s="49" t="s">
        <v>352</v>
      </c>
      <c r="E20" s="40">
        <v>1936349</v>
      </c>
      <c r="F20" s="41"/>
      <c r="G20" s="41"/>
      <c r="H20" s="41"/>
      <c r="I20" s="41"/>
      <c r="J20" s="41">
        <v>-47313</v>
      </c>
      <c r="K20" s="103">
        <v>-972000</v>
      </c>
      <c r="L20" s="41"/>
      <c r="M20" s="41"/>
      <c r="N20" s="41"/>
      <c r="O20" s="41"/>
      <c r="P20" s="41"/>
      <c r="Q20" s="41"/>
      <c r="R20" s="41"/>
      <c r="S20" s="41">
        <f t="shared" si="19"/>
        <v>-22366.731707317078</v>
      </c>
      <c r="T20" s="42">
        <f t="shared" si="0"/>
        <v>894669.26829268294</v>
      </c>
      <c r="U20" s="43"/>
      <c r="V20" s="141">
        <v>1856744.2682926829</v>
      </c>
      <c r="W20" s="142" t="s">
        <v>367</v>
      </c>
      <c r="X20" s="142">
        <v>5</v>
      </c>
      <c r="Y20" s="171" t="s">
        <v>423</v>
      </c>
      <c r="Z20" s="171" t="s">
        <v>428</v>
      </c>
      <c r="AA20" s="44" t="s">
        <v>282</v>
      </c>
      <c r="AB20" s="187" t="s">
        <v>456</v>
      </c>
      <c r="AC20" s="10">
        <f t="shared" si="20"/>
        <v>22366.731707317074</v>
      </c>
      <c r="AD20" s="13">
        <v>21091.828000000001</v>
      </c>
      <c r="AE20" s="10"/>
      <c r="AF20" s="10"/>
      <c r="AG20" s="45"/>
      <c r="AH20" s="45"/>
      <c r="AI20" s="45">
        <f t="shared" si="1"/>
        <v>-35786.770731707322</v>
      </c>
      <c r="AJ20" s="41"/>
      <c r="AK20" s="45"/>
      <c r="AL20" s="45"/>
      <c r="AN20" s="128">
        <v>0</v>
      </c>
      <c r="AO20" s="45"/>
      <c r="AP20" s="46">
        <f t="shared" si="2"/>
        <v>1864416.0572682926</v>
      </c>
      <c r="AQ20" s="47"/>
      <c r="AW20" s="48">
        <f t="shared" si="3"/>
        <v>1864416.0572682926</v>
      </c>
      <c r="AX20" s="66"/>
      <c r="AY20" s="47">
        <f t="shared" si="4"/>
        <v>1842049.3255609756</v>
      </c>
      <c r="AZ20" s="249">
        <v>356000</v>
      </c>
      <c r="BA20" s="47">
        <f t="shared" si="21"/>
        <v>46708.548168170739</v>
      </c>
      <c r="BB20" s="47" t="e">
        <f>VLOOKUP($AA20,#REF!,3,0)*(+AY20+AZ20)</f>
        <v>#REF!</v>
      </c>
      <c r="BC20" s="47" t="e">
        <f>VLOOKUP($AB20,#REF!,3,0)*(+AY20+AZ20)</f>
        <v>#REF!</v>
      </c>
      <c r="BD20" s="47"/>
      <c r="BE20" s="47"/>
      <c r="BF20" s="47"/>
      <c r="BH20" s="47" t="e">
        <f t="shared" si="5"/>
        <v>#REF!</v>
      </c>
      <c r="BM20" s="47" t="e">
        <f t="shared" si="17"/>
        <v>#REF!</v>
      </c>
      <c r="BN20" s="66"/>
      <c r="BO20" s="47" t="e">
        <f t="shared" si="6"/>
        <v>#REF!</v>
      </c>
      <c r="BP20" s="47"/>
      <c r="BQ20" s="47" t="e">
        <f t="shared" si="22"/>
        <v>#REF!</v>
      </c>
      <c r="BR20" s="47" t="e">
        <f>VLOOKUP($AA20,#REF!,4,0)*(+BO20+BP20)</f>
        <v>#REF!</v>
      </c>
      <c r="BS20" s="47" t="e">
        <f>VLOOKUP($AB20,#REF!,4,0)*(+BO20+BP20)</f>
        <v>#REF!</v>
      </c>
      <c r="BV20" s="47"/>
      <c r="BY20" s="47" t="e">
        <f t="shared" si="18"/>
        <v>#REF!</v>
      </c>
      <c r="CD20" s="47" t="e">
        <f t="shared" si="7"/>
        <v>#REF!</v>
      </c>
      <c r="CE20" s="66"/>
      <c r="CF20" s="47" t="e">
        <f t="shared" si="8"/>
        <v>#REF!</v>
      </c>
      <c r="CG20" s="47"/>
      <c r="CH20" s="47" t="e">
        <f t="shared" si="23"/>
        <v>#REF!</v>
      </c>
      <c r="CI20" s="47" t="e">
        <f>VLOOKUP($AA20,#REF!,5,0)*(+CF20+CG20)</f>
        <v>#REF!</v>
      </c>
      <c r="CJ20" s="47" t="e">
        <f>VLOOKUP($AB20,#REF!,5,0)*(+CF20+CG20)</f>
        <v>#REF!</v>
      </c>
      <c r="CM20" s="47"/>
      <c r="CO20" s="47" t="e">
        <f t="shared" si="9"/>
        <v>#REF!</v>
      </c>
      <c r="CT20" s="47" t="e">
        <f t="shared" si="10"/>
        <v>#REF!</v>
      </c>
      <c r="CU20" s="66"/>
      <c r="CV20" s="47" t="e">
        <f t="shared" si="11"/>
        <v>#REF!</v>
      </c>
      <c r="CW20" s="47"/>
      <c r="CX20" s="47" t="e">
        <f t="shared" si="24"/>
        <v>#REF!</v>
      </c>
      <c r="CY20" s="47" t="e">
        <f>VLOOKUP($AA20,#REF!,6,0)*(+CV20+CW20)</f>
        <v>#REF!</v>
      </c>
      <c r="CZ20" s="47" t="e">
        <f>VLOOKUP($AB20,#REF!,6,0)*(+CV20+CW20)</f>
        <v>#REF!</v>
      </c>
      <c r="DC20" s="47"/>
      <c r="DE20" s="47" t="e">
        <f t="shared" si="12"/>
        <v>#REF!</v>
      </c>
      <c r="DJ20" s="47" t="e">
        <f t="shared" si="13"/>
        <v>#REF!</v>
      </c>
      <c r="DK20" s="66"/>
      <c r="DL20" s="47" t="e">
        <f t="shared" si="14"/>
        <v>#REF!</v>
      </c>
      <c r="DM20" s="47"/>
      <c r="DN20" s="47" t="e">
        <f t="shared" si="25"/>
        <v>#REF!</v>
      </c>
      <c r="DO20" s="47" t="e">
        <f>VLOOKUP($AA20,#REF!,7,0)*(+DL20+DM20)</f>
        <v>#REF!</v>
      </c>
      <c r="DP20" s="47" t="e">
        <f>VLOOKUP($AB20,#REF!,7,0)*(+DL20+DM20)</f>
        <v>#REF!</v>
      </c>
      <c r="DS20" s="47"/>
      <c r="DU20" s="47" t="e">
        <f t="shared" si="15"/>
        <v>#REF!</v>
      </c>
      <c r="DZ20" s="47" t="e">
        <f t="shared" si="16"/>
        <v>#REF!</v>
      </c>
      <c r="EA20" s="66"/>
    </row>
    <row r="21" spans="1:131" x14ac:dyDescent="0.2">
      <c r="A21" s="38" t="s">
        <v>374</v>
      </c>
      <c r="B21" s="39" t="s">
        <v>90</v>
      </c>
      <c r="C21" s="39" t="s">
        <v>91</v>
      </c>
      <c r="D21" s="49"/>
      <c r="E21" s="40">
        <v>123782</v>
      </c>
      <c r="F21" s="41"/>
      <c r="G21" s="41"/>
      <c r="H21" s="41"/>
      <c r="I21" s="41"/>
      <c r="J21" s="41"/>
      <c r="K21" s="51"/>
      <c r="L21" s="41"/>
      <c r="M21" s="41"/>
      <c r="N21" s="41"/>
      <c r="O21" s="41"/>
      <c r="P21" s="41"/>
      <c r="Q21" s="41"/>
      <c r="R21" s="41"/>
      <c r="S21" s="41">
        <f t="shared" si="19"/>
        <v>-3019.0731707317077</v>
      </c>
      <c r="T21" s="42">
        <f t="shared" si="0"/>
        <v>120762.9268292683</v>
      </c>
      <c r="U21" s="43"/>
      <c r="V21" s="141">
        <v>120762.9268292683</v>
      </c>
      <c r="W21" s="142" t="s">
        <v>367</v>
      </c>
      <c r="X21" s="142">
        <v>5</v>
      </c>
      <c r="Y21" s="171" t="s">
        <v>423</v>
      </c>
      <c r="Z21" s="171" t="s">
        <v>428</v>
      </c>
      <c r="AA21" s="44" t="s">
        <v>282</v>
      </c>
      <c r="AB21" s="187" t="s">
        <v>456</v>
      </c>
      <c r="AC21" s="10">
        <f t="shared" si="20"/>
        <v>3019.0731707317077</v>
      </c>
      <c r="AD21" s="13">
        <v>2846.9859999999999</v>
      </c>
      <c r="AE21" s="10"/>
      <c r="AF21" s="10"/>
      <c r="AG21" s="45"/>
      <c r="AH21" s="45"/>
      <c r="AI21" s="45">
        <f t="shared" si="1"/>
        <v>-4830.5170731707321</v>
      </c>
      <c r="AJ21" s="41"/>
      <c r="AK21" s="45"/>
      <c r="AL21" s="45"/>
      <c r="AN21" s="128">
        <v>0</v>
      </c>
      <c r="AO21" s="45"/>
      <c r="AP21" s="46">
        <f t="shared" si="2"/>
        <v>121798.46892682927</v>
      </c>
      <c r="AQ21" s="47"/>
      <c r="AW21" s="48">
        <f t="shared" si="3"/>
        <v>121798.46892682927</v>
      </c>
      <c r="AX21" s="66"/>
      <c r="AY21" s="47">
        <f t="shared" si="4"/>
        <v>118779.39575609757</v>
      </c>
      <c r="AZ21" s="47"/>
      <c r="BA21" s="47">
        <f t="shared" si="21"/>
        <v>2524.0621598170737</v>
      </c>
      <c r="BB21" s="47" t="e">
        <f>VLOOKUP($AA21,#REF!,3,0)*(+AY21+AZ21)</f>
        <v>#REF!</v>
      </c>
      <c r="BC21" s="47" t="e">
        <f>VLOOKUP($AB21,#REF!,3,0)*(+AY21+AZ21)</f>
        <v>#REF!</v>
      </c>
      <c r="BE21" s="47"/>
      <c r="BF21" s="47"/>
      <c r="BH21" s="47" t="e">
        <f t="shared" si="5"/>
        <v>#REF!</v>
      </c>
      <c r="BM21" s="47" t="e">
        <f t="shared" si="17"/>
        <v>#REF!</v>
      </c>
      <c r="BN21" s="66"/>
      <c r="BO21" s="47" t="e">
        <f t="shared" si="6"/>
        <v>#REF!</v>
      </c>
      <c r="BP21" s="47"/>
      <c r="BQ21" s="47" t="e">
        <f t="shared" si="22"/>
        <v>#REF!</v>
      </c>
      <c r="BR21" s="47" t="e">
        <f>VLOOKUP($AA21,#REF!,4,0)*(+BO21+BP21)</f>
        <v>#REF!</v>
      </c>
      <c r="BS21" s="47" t="e">
        <f>VLOOKUP($AB21,#REF!,4,0)*(+BO21+BP21)</f>
        <v>#REF!</v>
      </c>
      <c r="BV21" s="47"/>
      <c r="BY21" s="47" t="e">
        <f t="shared" si="18"/>
        <v>#REF!</v>
      </c>
      <c r="CD21" s="47" t="e">
        <f t="shared" si="7"/>
        <v>#REF!</v>
      </c>
      <c r="CE21" s="66"/>
      <c r="CF21" s="47" t="e">
        <f t="shared" si="8"/>
        <v>#REF!</v>
      </c>
      <c r="CG21" s="47"/>
      <c r="CH21" s="47" t="e">
        <f t="shared" si="23"/>
        <v>#REF!</v>
      </c>
      <c r="CI21" s="47" t="e">
        <f>VLOOKUP($AA21,#REF!,5,0)*(+CF21+CG21)</f>
        <v>#REF!</v>
      </c>
      <c r="CJ21" s="47" t="e">
        <f>VLOOKUP($AB21,#REF!,5,0)*(+CF21+CG21)</f>
        <v>#REF!</v>
      </c>
      <c r="CM21" s="47"/>
      <c r="CO21" s="47" t="e">
        <f t="shared" si="9"/>
        <v>#REF!</v>
      </c>
      <c r="CT21" s="47" t="e">
        <f t="shared" si="10"/>
        <v>#REF!</v>
      </c>
      <c r="CU21" s="66"/>
      <c r="CV21" s="47" t="e">
        <f t="shared" si="11"/>
        <v>#REF!</v>
      </c>
      <c r="CW21" s="47"/>
      <c r="CX21" s="47" t="e">
        <f t="shared" si="24"/>
        <v>#REF!</v>
      </c>
      <c r="CY21" s="47" t="e">
        <f>VLOOKUP($AA21,#REF!,6,0)*(+CV21+CW21)</f>
        <v>#REF!</v>
      </c>
      <c r="CZ21" s="47" t="e">
        <f>VLOOKUP($AB21,#REF!,6,0)*(+CV21+CW21)</f>
        <v>#REF!</v>
      </c>
      <c r="DC21" s="47"/>
      <c r="DE21" s="47" t="e">
        <f t="shared" si="12"/>
        <v>#REF!</v>
      </c>
      <c r="DJ21" s="47" t="e">
        <f t="shared" si="13"/>
        <v>#REF!</v>
      </c>
      <c r="DK21" s="66"/>
      <c r="DL21" s="47" t="e">
        <f t="shared" si="14"/>
        <v>#REF!</v>
      </c>
      <c r="DM21" s="47"/>
      <c r="DN21" s="47" t="e">
        <f t="shared" si="25"/>
        <v>#REF!</v>
      </c>
      <c r="DO21" s="47" t="e">
        <f>VLOOKUP($AA21,#REF!,7,0)*(+DL21+DM21)</f>
        <v>#REF!</v>
      </c>
      <c r="DP21" s="47" t="e">
        <f>VLOOKUP($AB21,#REF!,7,0)*(+DL21+DM21)</f>
        <v>#REF!</v>
      </c>
      <c r="DS21" s="47"/>
      <c r="DU21" s="47" t="e">
        <f t="shared" si="15"/>
        <v>#REF!</v>
      </c>
      <c r="DZ21" s="47" t="e">
        <f t="shared" si="16"/>
        <v>#REF!</v>
      </c>
      <c r="EA21" s="66"/>
    </row>
    <row r="22" spans="1:131" x14ac:dyDescent="0.2">
      <c r="A22" s="38" t="s">
        <v>374</v>
      </c>
      <c r="B22" s="39" t="s">
        <v>92</v>
      </c>
      <c r="C22" s="39" t="s">
        <v>93</v>
      </c>
      <c r="D22" s="39"/>
      <c r="E22" s="40">
        <v>65655</v>
      </c>
      <c r="F22" s="41"/>
      <c r="G22" s="41"/>
      <c r="H22" s="41"/>
      <c r="I22" s="41"/>
      <c r="J22" s="41"/>
      <c r="K22" s="51"/>
      <c r="L22" s="41"/>
      <c r="M22" s="41"/>
      <c r="N22" s="41"/>
      <c r="O22" s="41"/>
      <c r="P22" s="41"/>
      <c r="Q22" s="41"/>
      <c r="R22" s="41"/>
      <c r="S22" s="41"/>
      <c r="T22" s="42">
        <f t="shared" si="0"/>
        <v>65655</v>
      </c>
      <c r="U22" s="43"/>
      <c r="V22" s="141">
        <v>65655</v>
      </c>
      <c r="W22" s="142" t="s">
        <v>367</v>
      </c>
      <c r="X22" s="142">
        <v>5</v>
      </c>
      <c r="Y22" s="171" t="s">
        <v>423</v>
      </c>
      <c r="Z22" s="171" t="s">
        <v>428</v>
      </c>
      <c r="AA22" s="44" t="s">
        <v>282</v>
      </c>
      <c r="AB22" s="187" t="s">
        <v>456</v>
      </c>
      <c r="AC22" s="10"/>
      <c r="AD22" s="13">
        <v>1510.0650000000001</v>
      </c>
      <c r="AE22" s="10"/>
      <c r="AF22" s="10"/>
      <c r="AG22" s="45"/>
      <c r="AH22" s="45"/>
      <c r="AI22" s="45">
        <f t="shared" si="1"/>
        <v>-2626.2000000000003</v>
      </c>
      <c r="AJ22" s="41"/>
      <c r="AK22" s="45"/>
      <c r="AL22" s="45"/>
      <c r="AN22" s="128">
        <v>0</v>
      </c>
      <c r="AO22" s="45"/>
      <c r="AP22" s="46">
        <f t="shared" si="2"/>
        <v>64538.864999999998</v>
      </c>
      <c r="AQ22" s="47"/>
      <c r="AW22" s="48">
        <f t="shared" si="3"/>
        <v>64538.864999999998</v>
      </c>
      <c r="AX22" s="66"/>
      <c r="AY22" s="47">
        <f t="shared" si="4"/>
        <v>64538.864999999998</v>
      </c>
      <c r="AZ22" s="47"/>
      <c r="BB22" s="47" t="e">
        <f>VLOOKUP($AA22,#REF!,3,0)*(+AY22+AZ22)</f>
        <v>#REF!</v>
      </c>
      <c r="BC22" s="47" t="e">
        <f>VLOOKUP($AB22,#REF!,3,0)*(+AY22+AZ22)</f>
        <v>#REF!</v>
      </c>
      <c r="BE22" s="47"/>
      <c r="BF22" s="47"/>
      <c r="BH22" s="47" t="e">
        <f t="shared" si="5"/>
        <v>#REF!</v>
      </c>
      <c r="BM22" s="47" t="e">
        <f t="shared" si="17"/>
        <v>#REF!</v>
      </c>
      <c r="BN22" s="66"/>
      <c r="BO22" s="47" t="e">
        <f t="shared" si="6"/>
        <v>#REF!</v>
      </c>
      <c r="BP22" s="47"/>
      <c r="BR22" s="47" t="e">
        <f>VLOOKUP($AA22,#REF!,4,0)*(+BO22+BP22)</f>
        <v>#REF!</v>
      </c>
      <c r="BS22" s="47" t="e">
        <f>VLOOKUP($AB22,#REF!,4,0)*(+BO22+BP22)</f>
        <v>#REF!</v>
      </c>
      <c r="BV22" s="47"/>
      <c r="BY22" s="47" t="e">
        <f t="shared" si="18"/>
        <v>#REF!</v>
      </c>
      <c r="CD22" s="47" t="e">
        <f t="shared" si="7"/>
        <v>#REF!</v>
      </c>
      <c r="CE22" s="66"/>
      <c r="CF22" s="47" t="e">
        <f t="shared" si="8"/>
        <v>#REF!</v>
      </c>
      <c r="CG22" s="47"/>
      <c r="CI22" s="47" t="e">
        <f>VLOOKUP($AA22,#REF!,5,0)*(+CF22+CG22)</f>
        <v>#REF!</v>
      </c>
      <c r="CJ22" s="47" t="e">
        <f>VLOOKUP($AB22,#REF!,5,0)*(+CF22+CG22)</f>
        <v>#REF!</v>
      </c>
      <c r="CM22" s="47"/>
      <c r="CO22" s="47" t="e">
        <f t="shared" si="9"/>
        <v>#REF!</v>
      </c>
      <c r="CT22" s="47" t="e">
        <f t="shared" si="10"/>
        <v>#REF!</v>
      </c>
      <c r="CU22" s="66"/>
      <c r="CV22" s="47" t="e">
        <f t="shared" si="11"/>
        <v>#REF!</v>
      </c>
      <c r="CW22" s="47"/>
      <c r="CY22" s="47" t="e">
        <f>VLOOKUP($AA22,#REF!,6,0)*(+CV22+CW22)</f>
        <v>#REF!</v>
      </c>
      <c r="CZ22" s="47" t="e">
        <f>VLOOKUP($AB22,#REF!,6,0)*(+CV22+CW22)</f>
        <v>#REF!</v>
      </c>
      <c r="DC22" s="47"/>
      <c r="DE22" s="47" t="e">
        <f t="shared" si="12"/>
        <v>#REF!</v>
      </c>
      <c r="DJ22" s="47" t="e">
        <f t="shared" si="13"/>
        <v>#REF!</v>
      </c>
      <c r="DK22" s="66"/>
      <c r="DL22" s="47" t="e">
        <f t="shared" si="14"/>
        <v>#REF!</v>
      </c>
      <c r="DM22" s="47"/>
      <c r="DO22" s="47" t="e">
        <f>VLOOKUP($AA22,#REF!,7,0)*(+DL22+DM22)</f>
        <v>#REF!</v>
      </c>
      <c r="DP22" s="47" t="e">
        <f>VLOOKUP($AB22,#REF!,7,0)*(+DL22+DM22)</f>
        <v>#REF!</v>
      </c>
      <c r="DS22" s="47"/>
      <c r="DU22" s="47" t="e">
        <f t="shared" si="15"/>
        <v>#REF!</v>
      </c>
      <c r="DZ22" s="47" t="e">
        <f t="shared" si="16"/>
        <v>#REF!</v>
      </c>
      <c r="EA22" s="66"/>
    </row>
    <row r="23" spans="1:131" x14ac:dyDescent="0.2">
      <c r="A23" s="38" t="s">
        <v>374</v>
      </c>
      <c r="B23" s="39" t="s">
        <v>94</v>
      </c>
      <c r="C23" s="39" t="s">
        <v>95</v>
      </c>
      <c r="D23" s="39"/>
      <c r="E23" s="40">
        <v>298400</v>
      </c>
      <c r="F23" s="41"/>
      <c r="G23" s="41"/>
      <c r="H23" s="41"/>
      <c r="I23" s="41"/>
      <c r="J23" s="41"/>
      <c r="K23" s="51"/>
      <c r="L23" s="41"/>
      <c r="M23" s="41"/>
      <c r="N23" s="41"/>
      <c r="O23" s="41"/>
      <c r="P23" s="41"/>
      <c r="Q23" s="41"/>
      <c r="R23" s="41"/>
      <c r="S23" s="41"/>
      <c r="T23" s="42">
        <f t="shared" si="0"/>
        <v>298400</v>
      </c>
      <c r="U23" s="43"/>
      <c r="V23" s="141">
        <v>298400</v>
      </c>
      <c r="W23" s="142" t="s">
        <v>367</v>
      </c>
      <c r="X23" s="142">
        <v>5</v>
      </c>
      <c r="Y23" s="171" t="s">
        <v>423</v>
      </c>
      <c r="Z23" s="171" t="s">
        <v>428</v>
      </c>
      <c r="AA23" s="44" t="s">
        <v>282</v>
      </c>
      <c r="AB23" s="187" t="s">
        <v>456</v>
      </c>
      <c r="AC23" s="10"/>
      <c r="AD23" s="13">
        <v>6863.2</v>
      </c>
      <c r="AE23" s="10"/>
      <c r="AF23" s="10"/>
      <c r="AG23" s="45"/>
      <c r="AH23" s="45"/>
      <c r="AI23" s="45">
        <f t="shared" si="1"/>
        <v>-11936</v>
      </c>
      <c r="AJ23" s="41"/>
      <c r="AK23" s="45"/>
      <c r="AL23" s="45"/>
      <c r="AN23" s="128">
        <v>0</v>
      </c>
      <c r="AO23" s="45"/>
      <c r="AP23" s="46">
        <f t="shared" si="2"/>
        <v>293327.2</v>
      </c>
      <c r="AQ23" s="47"/>
      <c r="AW23" s="48">
        <f t="shared" si="3"/>
        <v>293327.2</v>
      </c>
      <c r="AX23" s="66"/>
      <c r="AY23" s="47">
        <f t="shared" si="4"/>
        <v>293327.2</v>
      </c>
      <c r="AZ23" s="47"/>
      <c r="BB23" s="47" t="e">
        <f>VLOOKUP($AA23,#REF!,3,0)*(+AY23+AZ23)</f>
        <v>#REF!</v>
      </c>
      <c r="BC23" s="47" t="e">
        <f>VLOOKUP($AB23,#REF!,3,0)*(+AY23+AZ23)</f>
        <v>#REF!</v>
      </c>
      <c r="BE23" s="47"/>
      <c r="BF23" s="47"/>
      <c r="BH23" s="47" t="e">
        <f t="shared" si="5"/>
        <v>#REF!</v>
      </c>
      <c r="BM23" s="47" t="e">
        <f t="shared" si="17"/>
        <v>#REF!</v>
      </c>
      <c r="BN23" s="66"/>
      <c r="BO23" s="47" t="e">
        <f t="shared" si="6"/>
        <v>#REF!</v>
      </c>
      <c r="BP23" s="47"/>
      <c r="BR23" s="47" t="e">
        <f>VLOOKUP($AA23,#REF!,4,0)*(+BO23+BP23)</f>
        <v>#REF!</v>
      </c>
      <c r="BS23" s="47" t="e">
        <f>VLOOKUP($AB23,#REF!,4,0)*(+BO23+BP23)</f>
        <v>#REF!</v>
      </c>
      <c r="BV23" s="47"/>
      <c r="BY23" s="47" t="e">
        <f t="shared" si="18"/>
        <v>#REF!</v>
      </c>
      <c r="CD23" s="47" t="e">
        <f t="shared" si="7"/>
        <v>#REF!</v>
      </c>
      <c r="CE23" s="66"/>
      <c r="CF23" s="47" t="e">
        <f t="shared" si="8"/>
        <v>#REF!</v>
      </c>
      <c r="CG23" s="47"/>
      <c r="CI23" s="47" t="e">
        <f>VLOOKUP($AA23,#REF!,5,0)*(+CF23+CG23)</f>
        <v>#REF!</v>
      </c>
      <c r="CJ23" s="47" t="e">
        <f>VLOOKUP($AB23,#REF!,5,0)*(+CF23+CG23)</f>
        <v>#REF!</v>
      </c>
      <c r="CM23" s="47"/>
      <c r="CO23" s="47" t="e">
        <f t="shared" si="9"/>
        <v>#REF!</v>
      </c>
      <c r="CT23" s="47" t="e">
        <f t="shared" si="10"/>
        <v>#REF!</v>
      </c>
      <c r="CU23" s="66"/>
      <c r="CV23" s="47" t="e">
        <f t="shared" si="11"/>
        <v>#REF!</v>
      </c>
      <c r="CW23" s="47"/>
      <c r="CY23" s="47" t="e">
        <f>VLOOKUP($AA23,#REF!,6,0)*(+CV23+CW23)</f>
        <v>#REF!</v>
      </c>
      <c r="CZ23" s="47" t="e">
        <f>VLOOKUP($AB23,#REF!,6,0)*(+CV23+CW23)</f>
        <v>#REF!</v>
      </c>
      <c r="DC23" s="47"/>
      <c r="DE23" s="47" t="e">
        <f t="shared" si="12"/>
        <v>#REF!</v>
      </c>
      <c r="DJ23" s="47" t="e">
        <f t="shared" si="13"/>
        <v>#REF!</v>
      </c>
      <c r="DK23" s="66"/>
      <c r="DL23" s="47" t="e">
        <f t="shared" si="14"/>
        <v>#REF!</v>
      </c>
      <c r="DM23" s="47"/>
      <c r="DO23" s="47" t="e">
        <f>VLOOKUP($AA23,#REF!,7,0)*(+DL23+DM23)</f>
        <v>#REF!</v>
      </c>
      <c r="DP23" s="47" t="e">
        <f>VLOOKUP($AB23,#REF!,7,0)*(+DL23+DM23)</f>
        <v>#REF!</v>
      </c>
      <c r="DS23" s="47"/>
      <c r="DU23" s="47" t="e">
        <f t="shared" si="15"/>
        <v>#REF!</v>
      </c>
      <c r="DZ23" s="47" t="e">
        <f t="shared" si="16"/>
        <v>#REF!</v>
      </c>
      <c r="EA23" s="66"/>
    </row>
    <row r="24" spans="1:131" x14ac:dyDescent="0.2">
      <c r="A24" s="38" t="s">
        <v>374</v>
      </c>
      <c r="B24" s="39" t="s">
        <v>96</v>
      </c>
      <c r="C24" s="39" t="s">
        <v>97</v>
      </c>
      <c r="D24" s="39"/>
      <c r="E24" s="40">
        <v>2040086</v>
      </c>
      <c r="F24" s="41">
        <f>-35000+106000</f>
        <v>71000</v>
      </c>
      <c r="G24" s="41"/>
      <c r="H24" s="41"/>
      <c r="I24" s="41"/>
      <c r="J24" s="41">
        <f>-35332-22272-866659-3</f>
        <v>-924266</v>
      </c>
      <c r="K24" s="51"/>
      <c r="L24" s="41"/>
      <c r="M24" s="41"/>
      <c r="N24" s="41"/>
      <c r="O24" s="41"/>
      <c r="P24" s="41"/>
      <c r="Q24" s="41"/>
      <c r="R24" s="41"/>
      <c r="S24" s="41"/>
      <c r="T24" s="42">
        <f t="shared" si="0"/>
        <v>1186820</v>
      </c>
      <c r="U24" s="43"/>
      <c r="V24" s="141">
        <v>1186820</v>
      </c>
      <c r="W24" s="142" t="s">
        <v>367</v>
      </c>
      <c r="X24" s="142">
        <v>5</v>
      </c>
      <c r="Y24" s="171" t="s">
        <v>423</v>
      </c>
      <c r="Z24" s="171" t="s">
        <v>428</v>
      </c>
      <c r="AA24" s="44" t="s">
        <v>282</v>
      </c>
      <c r="AB24" s="187" t="s">
        <v>456</v>
      </c>
      <c r="AC24" s="10"/>
      <c r="AD24" s="13">
        <v>27296.86</v>
      </c>
      <c r="AE24" s="10"/>
      <c r="AF24" s="10"/>
      <c r="AG24" s="45"/>
      <c r="AH24" s="45"/>
      <c r="AI24" s="45">
        <f t="shared" si="1"/>
        <v>-47472.800000000003</v>
      </c>
      <c r="AJ24" s="41"/>
      <c r="AK24" s="45"/>
      <c r="AL24" s="45"/>
      <c r="AN24" s="128">
        <v>0</v>
      </c>
      <c r="AO24" s="45"/>
      <c r="AP24" s="46">
        <f t="shared" si="2"/>
        <v>1166644.06</v>
      </c>
      <c r="AQ24" s="47"/>
      <c r="AW24" s="48">
        <f t="shared" si="3"/>
        <v>1166644.06</v>
      </c>
      <c r="AX24" s="66"/>
      <c r="AY24" s="47">
        <f t="shared" si="4"/>
        <v>1166644.06</v>
      </c>
      <c r="AZ24" s="249">
        <v>650000</v>
      </c>
      <c r="BB24" s="47" t="e">
        <f>VLOOKUP($AA24,#REF!,3,0)*(+AY24+AZ24)</f>
        <v>#REF!</v>
      </c>
      <c r="BC24" s="47" t="e">
        <f>VLOOKUP($AB24,#REF!,3,0)*(+AY24+AZ24)</f>
        <v>#REF!</v>
      </c>
      <c r="BE24" s="47"/>
      <c r="BF24" s="47"/>
      <c r="BH24" s="47" t="e">
        <f t="shared" si="5"/>
        <v>#REF!</v>
      </c>
      <c r="BM24" s="47" t="e">
        <f t="shared" si="17"/>
        <v>#REF!</v>
      </c>
      <c r="BN24" s="66"/>
      <c r="BO24" s="47" t="e">
        <f t="shared" si="6"/>
        <v>#REF!</v>
      </c>
      <c r="BP24" s="47"/>
      <c r="BR24" s="47" t="e">
        <f>VLOOKUP($AA24,#REF!,4,0)*(+BO24+BP24)</f>
        <v>#REF!</v>
      </c>
      <c r="BS24" s="47" t="e">
        <f>VLOOKUP($AB24,#REF!,4,0)*(+BO24+BP24)</f>
        <v>#REF!</v>
      </c>
      <c r="BV24" s="47"/>
      <c r="BY24" s="47" t="e">
        <f t="shared" si="18"/>
        <v>#REF!</v>
      </c>
      <c r="CD24" s="47" t="e">
        <f t="shared" si="7"/>
        <v>#REF!</v>
      </c>
      <c r="CE24" s="66"/>
      <c r="CF24" s="47" t="e">
        <f t="shared" si="8"/>
        <v>#REF!</v>
      </c>
      <c r="CG24" s="47"/>
      <c r="CI24" s="47" t="e">
        <f>VLOOKUP($AA24,#REF!,5,0)*(+CF24+CG24)</f>
        <v>#REF!</v>
      </c>
      <c r="CJ24" s="47" t="e">
        <f>VLOOKUP($AB24,#REF!,5,0)*(+CF24+CG24)</f>
        <v>#REF!</v>
      </c>
      <c r="CM24" s="47"/>
      <c r="CO24" s="47" t="e">
        <f t="shared" si="9"/>
        <v>#REF!</v>
      </c>
      <c r="CT24" s="47" t="e">
        <f t="shared" si="10"/>
        <v>#REF!</v>
      </c>
      <c r="CU24" s="66"/>
      <c r="CV24" s="47" t="e">
        <f t="shared" si="11"/>
        <v>#REF!</v>
      </c>
      <c r="CW24" s="47"/>
      <c r="CY24" s="47" t="e">
        <f>VLOOKUP($AA24,#REF!,6,0)*(+CV24+CW24)</f>
        <v>#REF!</v>
      </c>
      <c r="CZ24" s="47" t="e">
        <f>VLOOKUP($AB24,#REF!,6,0)*(+CV24+CW24)</f>
        <v>#REF!</v>
      </c>
      <c r="DC24" s="47"/>
      <c r="DE24" s="47" t="e">
        <f t="shared" si="12"/>
        <v>#REF!</v>
      </c>
      <c r="DJ24" s="47" t="e">
        <f t="shared" si="13"/>
        <v>#REF!</v>
      </c>
      <c r="DK24" s="66"/>
      <c r="DL24" s="47" t="e">
        <f t="shared" si="14"/>
        <v>#REF!</v>
      </c>
      <c r="DM24" s="47"/>
      <c r="DO24" s="47" t="e">
        <f>VLOOKUP($AA24,#REF!,7,0)*(+DL24+DM24)</f>
        <v>#REF!</v>
      </c>
      <c r="DP24" s="47" t="e">
        <f>VLOOKUP($AB24,#REF!,7,0)*(+DL24+DM24)</f>
        <v>#REF!</v>
      </c>
      <c r="DS24" s="47"/>
      <c r="DU24" s="47" t="e">
        <f t="shared" si="15"/>
        <v>#REF!</v>
      </c>
      <c r="DZ24" s="47" t="e">
        <f t="shared" si="16"/>
        <v>#REF!</v>
      </c>
      <c r="EA24" s="66"/>
    </row>
    <row r="25" spans="1:131" x14ac:dyDescent="0.2">
      <c r="A25" s="38" t="s">
        <v>374</v>
      </c>
      <c r="B25" s="39" t="s">
        <v>335</v>
      </c>
      <c r="C25" s="39" t="s">
        <v>97</v>
      </c>
      <c r="D25" s="49" t="s">
        <v>351</v>
      </c>
      <c r="E25" s="40"/>
      <c r="F25" s="41">
        <v>35000</v>
      </c>
      <c r="G25" s="41"/>
      <c r="H25" s="41"/>
      <c r="I25" s="41"/>
      <c r="J25" s="41"/>
      <c r="K25" s="103">
        <f>-35000-565000+148000</f>
        <v>-452000</v>
      </c>
      <c r="L25" s="41"/>
      <c r="M25" s="41"/>
      <c r="N25" s="41"/>
      <c r="O25" s="41"/>
      <c r="P25" s="41"/>
      <c r="Q25" s="41"/>
      <c r="R25" s="41"/>
      <c r="S25" s="41"/>
      <c r="T25" s="42">
        <f t="shared" si="0"/>
        <v>-417000</v>
      </c>
      <c r="U25" s="43"/>
      <c r="V25" s="141">
        <v>-7089</v>
      </c>
      <c r="W25" s="142" t="s">
        <v>367</v>
      </c>
      <c r="X25" s="142">
        <v>5</v>
      </c>
      <c r="Y25" s="171" t="s">
        <v>423</v>
      </c>
      <c r="Z25" s="171" t="s">
        <v>428</v>
      </c>
      <c r="AA25" s="44" t="s">
        <v>282</v>
      </c>
      <c r="AB25" s="187" t="s">
        <v>456</v>
      </c>
      <c r="AC25" s="10"/>
      <c r="AD25" s="13">
        <v>-9591</v>
      </c>
      <c r="AE25" s="10"/>
      <c r="AF25" s="10"/>
      <c r="AG25" s="45"/>
      <c r="AH25" s="45"/>
      <c r="AI25" s="45">
        <f t="shared" si="1"/>
        <v>16680</v>
      </c>
      <c r="AJ25" s="41"/>
      <c r="AK25" s="45"/>
      <c r="AL25" s="45"/>
      <c r="AN25" s="128">
        <v>0</v>
      </c>
      <c r="AO25" s="45"/>
      <c r="AP25" s="46">
        <f t="shared" si="2"/>
        <v>0</v>
      </c>
      <c r="AQ25" s="47"/>
      <c r="AW25" s="48">
        <f t="shared" si="3"/>
        <v>0</v>
      </c>
      <c r="AX25" s="66"/>
      <c r="AY25" s="47">
        <f t="shared" si="4"/>
        <v>0</v>
      </c>
      <c r="AZ25" s="47"/>
      <c r="BB25" s="47" t="e">
        <f>VLOOKUP($AA25,#REF!,3,0)*(+AY25+AZ25)</f>
        <v>#REF!</v>
      </c>
      <c r="BC25" s="47" t="e">
        <f>VLOOKUP($AB25,#REF!,3,0)*(+AY25+AZ25)</f>
        <v>#REF!</v>
      </c>
      <c r="BE25" s="47"/>
      <c r="BF25" s="47"/>
      <c r="BH25" s="47" t="e">
        <f t="shared" si="5"/>
        <v>#REF!</v>
      </c>
      <c r="BM25" s="47" t="e">
        <f t="shared" si="17"/>
        <v>#REF!</v>
      </c>
      <c r="BN25" s="66"/>
      <c r="BO25" s="47" t="e">
        <f t="shared" si="6"/>
        <v>#REF!</v>
      </c>
      <c r="BP25" s="47"/>
      <c r="BR25" s="47" t="e">
        <f>VLOOKUP($AA25,#REF!,4,0)*(+BO25+BP25)</f>
        <v>#REF!</v>
      </c>
      <c r="BS25" s="47" t="e">
        <f>VLOOKUP($AB25,#REF!,4,0)*(+BO25+BP25)</f>
        <v>#REF!</v>
      </c>
      <c r="BV25" s="47"/>
      <c r="BY25" s="47" t="e">
        <f t="shared" si="18"/>
        <v>#REF!</v>
      </c>
      <c r="CD25" s="47" t="e">
        <f t="shared" si="7"/>
        <v>#REF!</v>
      </c>
      <c r="CE25" s="66"/>
      <c r="CF25" s="47" t="e">
        <f t="shared" si="8"/>
        <v>#REF!</v>
      </c>
      <c r="CG25" s="47"/>
      <c r="CI25" s="47" t="e">
        <f>VLOOKUP($AA25,#REF!,5,0)*(+CF25+CG25)</f>
        <v>#REF!</v>
      </c>
      <c r="CJ25" s="47" t="e">
        <f>VLOOKUP($AB25,#REF!,5,0)*(+CF25+CG25)</f>
        <v>#REF!</v>
      </c>
      <c r="CM25" s="47"/>
      <c r="CO25" s="47" t="e">
        <f t="shared" si="9"/>
        <v>#REF!</v>
      </c>
      <c r="CT25" s="47" t="e">
        <f t="shared" si="10"/>
        <v>#REF!</v>
      </c>
      <c r="CU25" s="66"/>
      <c r="CV25" s="47" t="e">
        <f t="shared" si="11"/>
        <v>#REF!</v>
      </c>
      <c r="CW25" s="47"/>
      <c r="CY25" s="47" t="e">
        <f>VLOOKUP($AA25,#REF!,6,0)*(+CV25+CW25)</f>
        <v>#REF!</v>
      </c>
      <c r="CZ25" s="47" t="e">
        <f>VLOOKUP($AB25,#REF!,6,0)*(+CV25+CW25)</f>
        <v>#REF!</v>
      </c>
      <c r="DC25" s="47"/>
      <c r="DE25" s="47" t="e">
        <f t="shared" si="12"/>
        <v>#REF!</v>
      </c>
      <c r="DJ25" s="47" t="e">
        <f t="shared" si="13"/>
        <v>#REF!</v>
      </c>
      <c r="DK25" s="66"/>
      <c r="DL25" s="47" t="e">
        <f t="shared" si="14"/>
        <v>#REF!</v>
      </c>
      <c r="DM25" s="47"/>
      <c r="DO25" s="47" t="e">
        <f>VLOOKUP($AA25,#REF!,7,0)*(+DL25+DM25)</f>
        <v>#REF!</v>
      </c>
      <c r="DP25" s="47" t="e">
        <f>VLOOKUP($AB25,#REF!,7,0)*(+DL25+DM25)</f>
        <v>#REF!</v>
      </c>
      <c r="DS25" s="47"/>
      <c r="DU25" s="47" t="e">
        <f t="shared" si="15"/>
        <v>#REF!</v>
      </c>
      <c r="DZ25" s="47" t="e">
        <f t="shared" si="16"/>
        <v>#REF!</v>
      </c>
      <c r="EA25" s="66"/>
    </row>
    <row r="26" spans="1:131" x14ac:dyDescent="0.2">
      <c r="A26" s="38" t="s">
        <v>374</v>
      </c>
      <c r="B26" s="39" t="s">
        <v>98</v>
      </c>
      <c r="C26" s="39" t="s">
        <v>99</v>
      </c>
      <c r="D26" s="49" t="s">
        <v>327</v>
      </c>
      <c r="E26" s="40">
        <v>1942586</v>
      </c>
      <c r="F26" s="41"/>
      <c r="G26" s="41"/>
      <c r="H26" s="41"/>
      <c r="I26" s="41"/>
      <c r="J26" s="41">
        <v>-2597222</v>
      </c>
      <c r="K26" s="103">
        <v>1438000</v>
      </c>
      <c r="L26" s="41"/>
      <c r="M26" s="41"/>
      <c r="N26" s="41"/>
      <c r="O26" s="41"/>
      <c r="P26" s="41"/>
      <c r="Q26" s="41"/>
      <c r="R26" s="41"/>
      <c r="S26" s="41">
        <f t="shared" ref="S26:S36" si="26">SUM(E26:P26)/1.025*-0.025</f>
        <v>-19106.439024390245</v>
      </c>
      <c r="T26" s="42">
        <f t="shared" si="0"/>
        <v>764257.56097560981</v>
      </c>
      <c r="U26" s="43"/>
      <c r="V26" s="141">
        <v>610461.56097560981</v>
      </c>
      <c r="W26" s="142" t="s">
        <v>367</v>
      </c>
      <c r="X26" s="142">
        <v>5</v>
      </c>
      <c r="Y26" s="171" t="s">
        <v>423</v>
      </c>
      <c r="Z26" s="171" t="s">
        <v>428</v>
      </c>
      <c r="AA26" s="44" t="s">
        <v>282</v>
      </c>
      <c r="AB26" s="187" t="s">
        <v>456</v>
      </c>
      <c r="AC26" s="10">
        <f t="shared" ref="AC26:AC39" si="27">+T26*0.025</f>
        <v>19106.439024390245</v>
      </c>
      <c r="AD26" s="13">
        <v>18017.371999999999</v>
      </c>
      <c r="AE26" s="10"/>
      <c r="AF26" s="10"/>
      <c r="AG26" s="45"/>
      <c r="AH26" s="45"/>
      <c r="AI26" s="45">
        <f t="shared" si="1"/>
        <v>-30570.302439024392</v>
      </c>
      <c r="AJ26" s="41"/>
      <c r="AK26" s="45"/>
      <c r="AL26" s="45"/>
      <c r="AN26" s="128">
        <v>0</v>
      </c>
      <c r="AO26" s="45"/>
      <c r="AP26" s="46">
        <f t="shared" si="2"/>
        <v>617015.06956097565</v>
      </c>
      <c r="AQ26" s="47"/>
      <c r="AW26" s="48">
        <f t="shared" si="3"/>
        <v>617015.06956097565</v>
      </c>
      <c r="AX26" s="66"/>
      <c r="AY26" s="47">
        <f t="shared" si="4"/>
        <v>597908.63053658535</v>
      </c>
      <c r="AZ26" s="47"/>
      <c r="BA26" s="47">
        <f t="shared" ref="BA26:BA39" si="28">+((AY26+AZ26)*0.025)*0.85</f>
        <v>12705.55839890244</v>
      </c>
      <c r="BB26" s="47" t="e">
        <f>VLOOKUP($AA26,#REF!,3,0)*(+AY26+AZ26)</f>
        <v>#REF!</v>
      </c>
      <c r="BC26" s="47" t="e">
        <f>VLOOKUP($AB26,#REF!,3,0)*(+AY26+AZ26)</f>
        <v>#REF!</v>
      </c>
      <c r="BE26" s="47"/>
      <c r="BF26" s="47"/>
      <c r="BH26" s="47" t="e">
        <f t="shared" si="5"/>
        <v>#REF!</v>
      </c>
      <c r="BM26" s="47" t="e">
        <f t="shared" si="17"/>
        <v>#REF!</v>
      </c>
      <c r="BN26" s="66"/>
      <c r="BO26" s="47" t="e">
        <f t="shared" si="6"/>
        <v>#REF!</v>
      </c>
      <c r="BP26" s="47"/>
      <c r="BQ26" s="47" t="e">
        <f t="shared" ref="BQ26:BQ39" si="29">+((BO26+BP26)*0.025)*0.85</f>
        <v>#REF!</v>
      </c>
      <c r="BR26" s="47" t="e">
        <f>VLOOKUP($AA26,#REF!,4,0)*(+BO26+BP26)</f>
        <v>#REF!</v>
      </c>
      <c r="BS26" s="47" t="e">
        <f>VLOOKUP($AB26,#REF!,4,0)*(+BO26+BP26)</f>
        <v>#REF!</v>
      </c>
      <c r="BV26" s="47"/>
      <c r="BY26" s="47" t="e">
        <f t="shared" si="18"/>
        <v>#REF!</v>
      </c>
      <c r="CD26" s="47" t="e">
        <f t="shared" si="7"/>
        <v>#REF!</v>
      </c>
      <c r="CE26" s="66"/>
      <c r="CF26" s="47" t="e">
        <f t="shared" si="8"/>
        <v>#REF!</v>
      </c>
      <c r="CG26" s="47"/>
      <c r="CH26" s="47" t="e">
        <f t="shared" ref="CH26:CH39" si="30">+((CF26+CG26)*0.025)*0.85</f>
        <v>#REF!</v>
      </c>
      <c r="CI26" s="47" t="e">
        <f>VLOOKUP($AA26,#REF!,5,0)*(+CF26+CG26)</f>
        <v>#REF!</v>
      </c>
      <c r="CJ26" s="47" t="e">
        <f>VLOOKUP($AB26,#REF!,5,0)*(+CF26+CG26)</f>
        <v>#REF!</v>
      </c>
      <c r="CM26" s="47"/>
      <c r="CO26" s="47" t="e">
        <f t="shared" si="9"/>
        <v>#REF!</v>
      </c>
      <c r="CT26" s="47" t="e">
        <f t="shared" si="10"/>
        <v>#REF!</v>
      </c>
      <c r="CU26" s="66"/>
      <c r="CV26" s="47" t="e">
        <f t="shared" si="11"/>
        <v>#REF!</v>
      </c>
      <c r="CW26" s="47"/>
      <c r="CX26" s="47" t="e">
        <f t="shared" ref="CX26:CX39" si="31">+((CV26+CW26)*0.025)*0.85</f>
        <v>#REF!</v>
      </c>
      <c r="CY26" s="47" t="e">
        <f>VLOOKUP($AA26,#REF!,6,0)*(+CV26+CW26)</f>
        <v>#REF!</v>
      </c>
      <c r="CZ26" s="47" t="e">
        <f>VLOOKUP($AB26,#REF!,6,0)*(+CV26+CW26)</f>
        <v>#REF!</v>
      </c>
      <c r="DC26" s="47"/>
      <c r="DE26" s="47" t="e">
        <f t="shared" si="12"/>
        <v>#REF!</v>
      </c>
      <c r="DJ26" s="47" t="e">
        <f t="shared" si="13"/>
        <v>#REF!</v>
      </c>
      <c r="DK26" s="66"/>
      <c r="DL26" s="47" t="e">
        <f t="shared" si="14"/>
        <v>#REF!</v>
      </c>
      <c r="DM26" s="47"/>
      <c r="DN26" s="47" t="e">
        <f t="shared" ref="DN26:DN39" si="32">+((DL26+DM26)*0.025)*0.85</f>
        <v>#REF!</v>
      </c>
      <c r="DO26" s="47" t="e">
        <f>VLOOKUP($AA26,#REF!,7,0)*(+DL26+DM26)</f>
        <v>#REF!</v>
      </c>
      <c r="DP26" s="47" t="e">
        <f>VLOOKUP($AB26,#REF!,7,0)*(+DL26+DM26)</f>
        <v>#REF!</v>
      </c>
      <c r="DS26" s="47"/>
      <c r="DU26" s="47" t="e">
        <f t="shared" si="15"/>
        <v>#REF!</v>
      </c>
      <c r="DZ26" s="47" t="e">
        <f t="shared" si="16"/>
        <v>#REF!</v>
      </c>
      <c r="EA26" s="66"/>
    </row>
    <row r="27" spans="1:131" x14ac:dyDescent="0.2">
      <c r="A27" s="38" t="s">
        <v>374</v>
      </c>
      <c r="B27" s="39" t="s">
        <v>105</v>
      </c>
      <c r="C27" s="39" t="s">
        <v>106</v>
      </c>
      <c r="D27" s="39"/>
      <c r="E27" s="40">
        <v>55094</v>
      </c>
      <c r="F27" s="41"/>
      <c r="G27" s="41"/>
      <c r="H27" s="41"/>
      <c r="I27" s="41"/>
      <c r="J27" s="41"/>
      <c r="K27" s="51"/>
      <c r="L27" s="41"/>
      <c r="M27" s="41"/>
      <c r="N27" s="41"/>
      <c r="O27" s="41"/>
      <c r="P27" s="41"/>
      <c r="Q27" s="41"/>
      <c r="R27" s="41"/>
      <c r="S27" s="41">
        <f t="shared" si="26"/>
        <v>-1343.7560975609758</v>
      </c>
      <c r="T27" s="42">
        <f t="shared" si="0"/>
        <v>53750.243902439026</v>
      </c>
      <c r="U27" s="43"/>
      <c r="V27" s="141">
        <v>53750.243902439026</v>
      </c>
      <c r="W27" s="142" t="s">
        <v>367</v>
      </c>
      <c r="X27" s="142">
        <v>5</v>
      </c>
      <c r="Y27" s="171" t="s">
        <v>423</v>
      </c>
      <c r="Z27" s="171" t="s">
        <v>428</v>
      </c>
      <c r="AA27" s="44" t="s">
        <v>282</v>
      </c>
      <c r="AB27" s="187" t="s">
        <v>456</v>
      </c>
      <c r="AC27" s="10">
        <f t="shared" si="27"/>
        <v>1343.7560975609758</v>
      </c>
      <c r="AD27" s="13">
        <v>1267.162</v>
      </c>
      <c r="AE27" s="10"/>
      <c r="AF27" s="10"/>
      <c r="AG27" s="45"/>
      <c r="AH27" s="45"/>
      <c r="AI27" s="45">
        <f t="shared" si="1"/>
        <v>-2150.009756097561</v>
      </c>
      <c r="AJ27" s="41"/>
      <c r="AK27" s="45"/>
      <c r="AL27" s="45"/>
      <c r="AN27" s="128">
        <v>0</v>
      </c>
      <c r="AO27" s="45"/>
      <c r="AP27" s="46">
        <f t="shared" si="2"/>
        <v>54211.152243902441</v>
      </c>
      <c r="AQ27" s="47"/>
      <c r="AW27" s="48">
        <f t="shared" si="3"/>
        <v>54211.152243902441</v>
      </c>
      <c r="AX27" s="66"/>
      <c r="AY27" s="47">
        <f t="shared" si="4"/>
        <v>52867.396146341467</v>
      </c>
      <c r="AZ27" s="47"/>
      <c r="BA27" s="47">
        <f t="shared" si="28"/>
        <v>1123.4321681097563</v>
      </c>
      <c r="BB27" s="47" t="e">
        <f>VLOOKUP($AA27,#REF!,3,0)*(+AY27+AZ27)</f>
        <v>#REF!</v>
      </c>
      <c r="BC27" s="47" t="e">
        <f>VLOOKUP($AB27,#REF!,3,0)*(+AY27+AZ27)</f>
        <v>#REF!</v>
      </c>
      <c r="BE27" s="47"/>
      <c r="BH27" s="47" t="e">
        <f t="shared" si="5"/>
        <v>#REF!</v>
      </c>
      <c r="BM27" s="47" t="e">
        <f t="shared" si="17"/>
        <v>#REF!</v>
      </c>
      <c r="BN27" s="66"/>
      <c r="BO27" s="47" t="e">
        <f t="shared" si="6"/>
        <v>#REF!</v>
      </c>
      <c r="BP27" s="47"/>
      <c r="BQ27" s="47" t="e">
        <f t="shared" si="29"/>
        <v>#REF!</v>
      </c>
      <c r="BR27" s="47" t="e">
        <f>VLOOKUP($AA27,#REF!,4,0)*(+BO27+BP27)</f>
        <v>#REF!</v>
      </c>
      <c r="BS27" s="47" t="e">
        <f>VLOOKUP($AB27,#REF!,4,0)*(+BO27+BP27)</f>
        <v>#REF!</v>
      </c>
      <c r="BV27" s="47"/>
      <c r="BY27" s="47" t="e">
        <f t="shared" si="18"/>
        <v>#REF!</v>
      </c>
      <c r="CD27" s="47" t="e">
        <f t="shared" si="7"/>
        <v>#REF!</v>
      </c>
      <c r="CE27" s="66"/>
      <c r="CF27" s="47" t="e">
        <f t="shared" si="8"/>
        <v>#REF!</v>
      </c>
      <c r="CG27" s="47"/>
      <c r="CH27" s="47" t="e">
        <f t="shared" si="30"/>
        <v>#REF!</v>
      </c>
      <c r="CI27" s="47" t="e">
        <f>VLOOKUP($AA27,#REF!,5,0)*(+CF27+CG27)</f>
        <v>#REF!</v>
      </c>
      <c r="CJ27" s="47" t="e">
        <f>VLOOKUP($AB27,#REF!,5,0)*(+CF27+CG27)</f>
        <v>#REF!</v>
      </c>
      <c r="CM27" s="47"/>
      <c r="CO27" s="47" t="e">
        <f t="shared" si="9"/>
        <v>#REF!</v>
      </c>
      <c r="CT27" s="47" t="e">
        <f t="shared" si="10"/>
        <v>#REF!</v>
      </c>
      <c r="CU27" s="66"/>
      <c r="CV27" s="47" t="e">
        <f t="shared" si="11"/>
        <v>#REF!</v>
      </c>
      <c r="CW27" s="47"/>
      <c r="CX27" s="47" t="e">
        <f t="shared" si="31"/>
        <v>#REF!</v>
      </c>
      <c r="CY27" s="47" t="e">
        <f>VLOOKUP($AA27,#REF!,6,0)*(+CV27+CW27)</f>
        <v>#REF!</v>
      </c>
      <c r="CZ27" s="47" t="e">
        <f>VLOOKUP($AB27,#REF!,6,0)*(+CV27+CW27)</f>
        <v>#REF!</v>
      </c>
      <c r="DC27" s="47"/>
      <c r="DE27" s="47" t="e">
        <f t="shared" si="12"/>
        <v>#REF!</v>
      </c>
      <c r="DJ27" s="47" t="e">
        <f t="shared" si="13"/>
        <v>#REF!</v>
      </c>
      <c r="DK27" s="66"/>
      <c r="DL27" s="47" t="e">
        <f t="shared" si="14"/>
        <v>#REF!</v>
      </c>
      <c r="DM27" s="47"/>
      <c r="DN27" s="47" t="e">
        <f t="shared" si="32"/>
        <v>#REF!</v>
      </c>
      <c r="DO27" s="47" t="e">
        <f>VLOOKUP($AA27,#REF!,7,0)*(+DL27+DM27)</f>
        <v>#REF!</v>
      </c>
      <c r="DP27" s="47" t="e">
        <f>VLOOKUP($AB27,#REF!,7,0)*(+DL27+DM27)</f>
        <v>#REF!</v>
      </c>
      <c r="DS27" s="47"/>
      <c r="DU27" s="47" t="e">
        <f t="shared" si="15"/>
        <v>#REF!</v>
      </c>
      <c r="DZ27" s="47" t="e">
        <f t="shared" si="16"/>
        <v>#REF!</v>
      </c>
      <c r="EA27" s="66"/>
    </row>
    <row r="28" spans="1:131" x14ac:dyDescent="0.2">
      <c r="A28" s="38" t="s">
        <v>374</v>
      </c>
      <c r="B28" s="39" t="s">
        <v>115</v>
      </c>
      <c r="C28" s="39" t="s">
        <v>116</v>
      </c>
      <c r="D28" s="49" t="s">
        <v>329</v>
      </c>
      <c r="E28" s="40">
        <v>13889909</v>
      </c>
      <c r="F28" s="41"/>
      <c r="G28" s="41"/>
      <c r="H28" s="41"/>
      <c r="I28" s="41"/>
      <c r="J28" s="41">
        <v>-16896071</v>
      </c>
      <c r="K28" s="103">
        <f>1483000+795881</f>
        <v>2278881</v>
      </c>
      <c r="L28" s="41"/>
      <c r="M28" s="41"/>
      <c r="N28" s="41"/>
      <c r="O28" s="41"/>
      <c r="P28" s="41"/>
      <c r="Q28" s="41"/>
      <c r="R28" s="41"/>
      <c r="S28" s="41">
        <f t="shared" si="26"/>
        <v>17738.560975609758</v>
      </c>
      <c r="T28" s="42">
        <f t="shared" si="0"/>
        <v>-709542.43902439019</v>
      </c>
      <c r="U28" s="43"/>
      <c r="V28" s="141">
        <v>-709542.43902439019</v>
      </c>
      <c r="W28" s="142" t="s">
        <v>367</v>
      </c>
      <c r="X28" s="142">
        <v>5</v>
      </c>
      <c r="Y28" s="171" t="s">
        <v>423</v>
      </c>
      <c r="Z28" s="171" t="s">
        <v>428</v>
      </c>
      <c r="AA28" s="44" t="s">
        <v>282</v>
      </c>
      <c r="AB28" s="187" t="s">
        <v>456</v>
      </c>
      <c r="AC28" s="10">
        <f t="shared" si="27"/>
        <v>-17738.560975609755</v>
      </c>
      <c r="AD28" s="13">
        <v>-16727.463</v>
      </c>
      <c r="AE28" s="10"/>
      <c r="AF28" s="10"/>
      <c r="AG28" s="45"/>
      <c r="AH28" s="45"/>
      <c r="AI28" s="45">
        <f t="shared" si="1"/>
        <v>28381.697560975608</v>
      </c>
      <c r="AJ28" s="41"/>
      <c r="AK28" s="45"/>
      <c r="AL28" s="45"/>
      <c r="AN28" s="128">
        <v>-38373</v>
      </c>
      <c r="AO28" s="45"/>
      <c r="AP28" s="46">
        <f t="shared" si="2"/>
        <v>-753999.76543902431</v>
      </c>
      <c r="AQ28" s="47"/>
      <c r="AW28" s="48">
        <f t="shared" si="3"/>
        <v>-753999.76543902431</v>
      </c>
      <c r="AX28" s="66"/>
      <c r="AY28" s="47">
        <f t="shared" si="4"/>
        <v>-736261.20446341462</v>
      </c>
      <c r="AZ28" s="47">
        <v>736261</v>
      </c>
      <c r="BA28" s="47">
        <f t="shared" si="28"/>
        <v>-4.3448475605691785E-3</v>
      </c>
      <c r="BB28" s="47" t="e">
        <f>VLOOKUP($AA28,#REF!,3,0)*(+AY28+AZ28)</f>
        <v>#REF!</v>
      </c>
      <c r="BC28" s="47" t="e">
        <f>VLOOKUP($AB28,#REF!,3,0)*(+AY28+AZ28)</f>
        <v>#REF!</v>
      </c>
      <c r="BE28" s="47"/>
      <c r="BH28" s="47" t="e">
        <f t="shared" si="5"/>
        <v>#REF!</v>
      </c>
      <c r="BM28" s="47" t="e">
        <f t="shared" si="17"/>
        <v>#REF!</v>
      </c>
      <c r="BN28" s="66"/>
      <c r="BO28" s="47" t="e">
        <f t="shared" si="6"/>
        <v>#REF!</v>
      </c>
      <c r="BP28" s="47"/>
      <c r="BQ28" s="47" t="e">
        <f t="shared" si="29"/>
        <v>#REF!</v>
      </c>
      <c r="BR28" s="47" t="e">
        <f>VLOOKUP($AA28,#REF!,4,0)*(+BO28+BP28)</f>
        <v>#REF!</v>
      </c>
      <c r="BS28" s="47" t="e">
        <f>VLOOKUP($AB28,#REF!,4,0)*(+BO28+BP28)</f>
        <v>#REF!</v>
      </c>
      <c r="BV28" s="47"/>
      <c r="BY28" s="47" t="e">
        <f t="shared" si="18"/>
        <v>#REF!</v>
      </c>
      <c r="CD28" s="47" t="e">
        <f t="shared" si="7"/>
        <v>#REF!</v>
      </c>
      <c r="CE28" s="66"/>
      <c r="CF28" s="47" t="e">
        <f t="shared" si="8"/>
        <v>#REF!</v>
      </c>
      <c r="CG28" s="47"/>
      <c r="CH28" s="47" t="e">
        <f t="shared" si="30"/>
        <v>#REF!</v>
      </c>
      <c r="CI28" s="47" t="e">
        <f>VLOOKUP($AA28,#REF!,5,0)*(+CF28+CG28)</f>
        <v>#REF!</v>
      </c>
      <c r="CJ28" s="47" t="e">
        <f>VLOOKUP($AB28,#REF!,5,0)*(+CF28+CG28)</f>
        <v>#REF!</v>
      </c>
      <c r="CM28" s="47"/>
      <c r="CO28" s="47" t="e">
        <f t="shared" si="9"/>
        <v>#REF!</v>
      </c>
      <c r="CT28" s="47" t="e">
        <f t="shared" si="10"/>
        <v>#REF!</v>
      </c>
      <c r="CU28" s="66"/>
      <c r="CV28" s="47" t="e">
        <f t="shared" si="11"/>
        <v>#REF!</v>
      </c>
      <c r="CW28" s="47"/>
      <c r="CX28" s="47" t="e">
        <f t="shared" si="31"/>
        <v>#REF!</v>
      </c>
      <c r="CY28" s="47" t="e">
        <f>VLOOKUP($AA28,#REF!,6,0)*(+CV28+CW28)</f>
        <v>#REF!</v>
      </c>
      <c r="CZ28" s="47" t="e">
        <f>VLOOKUP($AB28,#REF!,6,0)*(+CV28+CW28)</f>
        <v>#REF!</v>
      </c>
      <c r="DC28" s="47"/>
      <c r="DE28" s="47" t="e">
        <f t="shared" si="12"/>
        <v>#REF!</v>
      </c>
      <c r="DJ28" s="47" t="e">
        <f t="shared" si="13"/>
        <v>#REF!</v>
      </c>
      <c r="DK28" s="66"/>
      <c r="DL28" s="47" t="e">
        <f t="shared" si="14"/>
        <v>#REF!</v>
      </c>
      <c r="DM28" s="47"/>
      <c r="DN28" s="47" t="e">
        <f t="shared" si="32"/>
        <v>#REF!</v>
      </c>
      <c r="DO28" s="47" t="e">
        <f>VLOOKUP($AA28,#REF!,7,0)*(+DL28+DM28)</f>
        <v>#REF!</v>
      </c>
      <c r="DP28" s="47" t="e">
        <f>VLOOKUP($AB28,#REF!,7,0)*(+DL28+DM28)</f>
        <v>#REF!</v>
      </c>
      <c r="DS28" s="47"/>
      <c r="DU28" s="47" t="e">
        <f t="shared" si="15"/>
        <v>#REF!</v>
      </c>
      <c r="DZ28" s="47" t="e">
        <f t="shared" si="16"/>
        <v>#REF!</v>
      </c>
      <c r="EA28" s="66"/>
    </row>
    <row r="29" spans="1:131" x14ac:dyDescent="0.2">
      <c r="A29" s="38" t="s">
        <v>374</v>
      </c>
      <c r="B29" s="39" t="s">
        <v>117</v>
      </c>
      <c r="C29" s="49" t="s">
        <v>325</v>
      </c>
      <c r="D29" s="49" t="s">
        <v>328</v>
      </c>
      <c r="E29" s="40">
        <v>9062906</v>
      </c>
      <c r="F29" s="41"/>
      <c r="G29" s="41">
        <v>-4090814</v>
      </c>
      <c r="H29" s="41"/>
      <c r="I29" s="41"/>
      <c r="J29" s="41">
        <v>-2436242</v>
      </c>
      <c r="K29" s="103">
        <v>-863260</v>
      </c>
      <c r="L29" s="41"/>
      <c r="M29" s="41"/>
      <c r="N29" s="41"/>
      <c r="O29" s="41"/>
      <c r="P29" s="41"/>
      <c r="Q29" s="41"/>
      <c r="R29" s="41"/>
      <c r="S29" s="41">
        <f t="shared" si="26"/>
        <v>-40794.878048780491</v>
      </c>
      <c r="T29" s="42">
        <f t="shared" si="0"/>
        <v>1631795.1219512196</v>
      </c>
      <c r="U29" s="43"/>
      <c r="V29" s="141">
        <v>1631795.1219512196</v>
      </c>
      <c r="W29" s="142" t="s">
        <v>367</v>
      </c>
      <c r="X29" s="142">
        <v>5</v>
      </c>
      <c r="Y29" s="171" t="s">
        <v>423</v>
      </c>
      <c r="Z29" s="171" t="s">
        <v>428</v>
      </c>
      <c r="AA29" s="44" t="s">
        <v>282</v>
      </c>
      <c r="AB29" s="187" t="s">
        <v>456</v>
      </c>
      <c r="AC29" s="10">
        <f t="shared" si="27"/>
        <v>40794.878048780491</v>
      </c>
      <c r="AD29" s="13">
        <v>38469.57</v>
      </c>
      <c r="AE29" s="10"/>
      <c r="AF29" s="10"/>
      <c r="AG29" s="45"/>
      <c r="AH29" s="45"/>
      <c r="AI29" s="45">
        <f t="shared" si="1"/>
        <v>-65271.804878048788</v>
      </c>
      <c r="AJ29" s="41"/>
      <c r="AK29" s="45"/>
      <c r="AL29" s="45"/>
      <c r="AN29" s="128">
        <v>-13833</v>
      </c>
      <c r="AO29" s="45"/>
      <c r="AP29" s="46">
        <f t="shared" si="2"/>
        <v>1631954.7651219512</v>
      </c>
      <c r="AQ29" s="47"/>
      <c r="AW29" s="48">
        <f t="shared" si="3"/>
        <v>1631954.7651219512</v>
      </c>
      <c r="AX29" s="66"/>
      <c r="AY29" s="47">
        <f t="shared" si="4"/>
        <v>1591159.8870731709</v>
      </c>
      <c r="AZ29" s="47"/>
      <c r="BA29" s="47">
        <f t="shared" si="28"/>
        <v>33812.147600304881</v>
      </c>
      <c r="BB29" s="47" t="e">
        <f>VLOOKUP($AA29,#REF!,3,0)*(+AY29+AZ29)</f>
        <v>#REF!</v>
      </c>
      <c r="BC29" s="47" t="e">
        <f>VLOOKUP($AB29,#REF!,3,0)*(+AY29+AZ29)</f>
        <v>#REF!</v>
      </c>
      <c r="BE29" s="47"/>
      <c r="BF29" s="47"/>
      <c r="BH29" s="47" t="e">
        <f t="shared" si="5"/>
        <v>#REF!</v>
      </c>
      <c r="BM29" s="47" t="e">
        <f t="shared" si="17"/>
        <v>#REF!</v>
      </c>
      <c r="BN29" s="66"/>
      <c r="BO29" s="47" t="e">
        <f t="shared" si="6"/>
        <v>#REF!</v>
      </c>
      <c r="BP29" s="47"/>
      <c r="BQ29" s="47" t="e">
        <f t="shared" si="29"/>
        <v>#REF!</v>
      </c>
      <c r="BR29" s="47" t="e">
        <f>VLOOKUP($AA29,#REF!,4,0)*(+BO29+BP29)</f>
        <v>#REF!</v>
      </c>
      <c r="BS29" s="47" t="e">
        <f>VLOOKUP($AB29,#REF!,4,0)*(+BO29+BP29)</f>
        <v>#REF!</v>
      </c>
      <c r="BV29" s="47"/>
      <c r="BY29" s="47" t="e">
        <f t="shared" si="18"/>
        <v>#REF!</v>
      </c>
      <c r="CD29" s="47" t="e">
        <f t="shared" si="7"/>
        <v>#REF!</v>
      </c>
      <c r="CE29" s="66"/>
      <c r="CF29" s="47" t="e">
        <f t="shared" si="8"/>
        <v>#REF!</v>
      </c>
      <c r="CG29" s="47"/>
      <c r="CH29" s="47" t="e">
        <f t="shared" si="30"/>
        <v>#REF!</v>
      </c>
      <c r="CI29" s="47" t="e">
        <f>VLOOKUP($AA29,#REF!,5,0)*(+CF29+CG29)</f>
        <v>#REF!</v>
      </c>
      <c r="CJ29" s="47" t="e">
        <f>VLOOKUP($AB29,#REF!,5,0)*(+CF29+CG29)</f>
        <v>#REF!</v>
      </c>
      <c r="CM29" s="47"/>
      <c r="CO29" s="47" t="e">
        <f t="shared" si="9"/>
        <v>#REF!</v>
      </c>
      <c r="CT29" s="47" t="e">
        <f t="shared" si="10"/>
        <v>#REF!</v>
      </c>
      <c r="CU29" s="66"/>
      <c r="CV29" s="47" t="e">
        <f t="shared" si="11"/>
        <v>#REF!</v>
      </c>
      <c r="CW29" s="47"/>
      <c r="CX29" s="47" t="e">
        <f t="shared" si="31"/>
        <v>#REF!</v>
      </c>
      <c r="CY29" s="47" t="e">
        <f>VLOOKUP($AA29,#REF!,6,0)*(+CV29+CW29)</f>
        <v>#REF!</v>
      </c>
      <c r="CZ29" s="47" t="e">
        <f>VLOOKUP($AB29,#REF!,6,0)*(+CV29+CW29)</f>
        <v>#REF!</v>
      </c>
      <c r="DC29" s="47"/>
      <c r="DE29" s="47" t="e">
        <f t="shared" si="12"/>
        <v>#REF!</v>
      </c>
      <c r="DJ29" s="47" t="e">
        <f t="shared" si="13"/>
        <v>#REF!</v>
      </c>
      <c r="DK29" s="66"/>
      <c r="DL29" s="47" t="e">
        <f t="shared" si="14"/>
        <v>#REF!</v>
      </c>
      <c r="DM29" s="47"/>
      <c r="DN29" s="47" t="e">
        <f t="shared" si="32"/>
        <v>#REF!</v>
      </c>
      <c r="DO29" s="47" t="e">
        <f>VLOOKUP($AA29,#REF!,7,0)*(+DL29+DM29)</f>
        <v>#REF!</v>
      </c>
      <c r="DP29" s="47" t="e">
        <f>VLOOKUP($AB29,#REF!,7,0)*(+DL29+DM29)</f>
        <v>#REF!</v>
      </c>
      <c r="DS29" s="47"/>
      <c r="DU29" s="47" t="e">
        <f t="shared" si="15"/>
        <v>#REF!</v>
      </c>
      <c r="DZ29" s="47" t="e">
        <f t="shared" si="16"/>
        <v>#REF!</v>
      </c>
      <c r="EA29" s="66"/>
    </row>
    <row r="30" spans="1:131" x14ac:dyDescent="0.2">
      <c r="A30" s="38" t="s">
        <v>374</v>
      </c>
      <c r="B30" s="49" t="s">
        <v>320</v>
      </c>
      <c r="C30" s="39" t="s">
        <v>118</v>
      </c>
      <c r="D30" s="49" t="s">
        <v>331</v>
      </c>
      <c r="E30" s="40"/>
      <c r="F30" s="41"/>
      <c r="G30" s="41">
        <v>3685439</v>
      </c>
      <c r="H30" s="41"/>
      <c r="I30" s="41"/>
      <c r="J30" s="41"/>
      <c r="K30" s="51"/>
      <c r="L30" s="41"/>
      <c r="M30" s="41"/>
      <c r="N30" s="41"/>
      <c r="O30" s="41"/>
      <c r="P30" s="41"/>
      <c r="Q30" s="41"/>
      <c r="R30" s="41"/>
      <c r="S30" s="41">
        <f t="shared" si="26"/>
        <v>-89888.756097560981</v>
      </c>
      <c r="T30" s="42">
        <f t="shared" si="0"/>
        <v>3595550.2439024393</v>
      </c>
      <c r="U30" s="43"/>
      <c r="V30" s="141">
        <v>3595550.2439024393</v>
      </c>
      <c r="W30" s="142" t="s">
        <v>367</v>
      </c>
      <c r="X30" s="142">
        <v>5</v>
      </c>
      <c r="Y30" s="171" t="s">
        <v>423</v>
      </c>
      <c r="Z30" s="171" t="s">
        <v>428</v>
      </c>
      <c r="AA30" s="44" t="s">
        <v>282</v>
      </c>
      <c r="AB30" s="187" t="s">
        <v>456</v>
      </c>
      <c r="AC30" s="10">
        <f t="shared" si="27"/>
        <v>89888.756097560981</v>
      </c>
      <c r="AD30" s="13">
        <v>84765.096999999994</v>
      </c>
      <c r="AE30" s="10"/>
      <c r="AF30" s="10"/>
      <c r="AG30" s="45"/>
      <c r="AH30" s="45"/>
      <c r="AI30" s="45">
        <f t="shared" si="1"/>
        <v>-143822.00975609757</v>
      </c>
      <c r="AJ30" s="41"/>
      <c r="AK30" s="45"/>
      <c r="AL30" s="45"/>
      <c r="AN30" s="128">
        <v>0</v>
      </c>
      <c r="AO30" s="45"/>
      <c r="AP30" s="46">
        <f t="shared" si="2"/>
        <v>3626382.0872439025</v>
      </c>
      <c r="AQ30" s="47"/>
      <c r="AW30" s="48">
        <f t="shared" si="3"/>
        <v>3626382.0872439025</v>
      </c>
      <c r="AX30" s="66"/>
      <c r="AY30" s="47">
        <f t="shared" si="4"/>
        <v>3536493.3311463417</v>
      </c>
      <c r="AZ30" s="47"/>
      <c r="BA30" s="47">
        <f t="shared" si="28"/>
        <v>75150.483286859773</v>
      </c>
      <c r="BB30" s="47" t="e">
        <f>VLOOKUP($AA30,#REF!,3,0)*(+AY30+AZ30)</f>
        <v>#REF!</v>
      </c>
      <c r="BC30" s="47" t="e">
        <f>VLOOKUP($AB30,#REF!,3,0)*(+AY30+AZ30)</f>
        <v>#REF!</v>
      </c>
      <c r="BE30" s="47"/>
      <c r="BF30" s="47"/>
      <c r="BH30" s="47" t="e">
        <f t="shared" si="5"/>
        <v>#REF!</v>
      </c>
      <c r="BM30" s="47" t="e">
        <f t="shared" si="17"/>
        <v>#REF!</v>
      </c>
      <c r="BN30" s="66"/>
      <c r="BO30" s="47" t="e">
        <f t="shared" si="6"/>
        <v>#REF!</v>
      </c>
      <c r="BP30" s="47"/>
      <c r="BQ30" s="47" t="e">
        <f t="shared" si="29"/>
        <v>#REF!</v>
      </c>
      <c r="BR30" s="47" t="e">
        <f>VLOOKUP($AA30,#REF!,4,0)*(+BO30+BP30)</f>
        <v>#REF!</v>
      </c>
      <c r="BS30" s="47" t="e">
        <f>VLOOKUP($AB30,#REF!,4,0)*(+BO30+BP30)</f>
        <v>#REF!</v>
      </c>
      <c r="BV30" s="47"/>
      <c r="BY30" s="47" t="e">
        <f t="shared" si="18"/>
        <v>#REF!</v>
      </c>
      <c r="CD30" s="47" t="e">
        <f t="shared" si="7"/>
        <v>#REF!</v>
      </c>
      <c r="CE30" s="66"/>
      <c r="CF30" s="47" t="e">
        <f t="shared" si="8"/>
        <v>#REF!</v>
      </c>
      <c r="CG30" s="47"/>
      <c r="CH30" s="47" t="e">
        <f t="shared" si="30"/>
        <v>#REF!</v>
      </c>
      <c r="CI30" s="47" t="e">
        <f>VLOOKUP($AA30,#REF!,5,0)*(+CF30+CG30)</f>
        <v>#REF!</v>
      </c>
      <c r="CJ30" s="47" t="e">
        <f>VLOOKUP($AB30,#REF!,5,0)*(+CF30+CG30)</f>
        <v>#REF!</v>
      </c>
      <c r="CM30" s="47"/>
      <c r="CO30" s="47" t="e">
        <f t="shared" si="9"/>
        <v>#REF!</v>
      </c>
      <c r="CT30" s="47" t="e">
        <f t="shared" si="10"/>
        <v>#REF!</v>
      </c>
      <c r="CU30" s="66"/>
      <c r="CV30" s="47" t="e">
        <f t="shared" si="11"/>
        <v>#REF!</v>
      </c>
      <c r="CW30" s="47"/>
      <c r="CX30" s="47" t="e">
        <f t="shared" si="31"/>
        <v>#REF!</v>
      </c>
      <c r="CY30" s="47" t="e">
        <f>VLOOKUP($AA30,#REF!,6,0)*(+CV30+CW30)</f>
        <v>#REF!</v>
      </c>
      <c r="CZ30" s="47" t="e">
        <f>VLOOKUP($AB30,#REF!,6,0)*(+CV30+CW30)</f>
        <v>#REF!</v>
      </c>
      <c r="DC30" s="47"/>
      <c r="DE30" s="47" t="e">
        <f t="shared" si="12"/>
        <v>#REF!</v>
      </c>
      <c r="DJ30" s="47" t="e">
        <f t="shared" si="13"/>
        <v>#REF!</v>
      </c>
      <c r="DK30" s="66"/>
      <c r="DL30" s="47" t="e">
        <f t="shared" si="14"/>
        <v>#REF!</v>
      </c>
      <c r="DM30" s="47"/>
      <c r="DN30" s="47" t="e">
        <f t="shared" si="32"/>
        <v>#REF!</v>
      </c>
      <c r="DO30" s="47" t="e">
        <f>VLOOKUP($AA30,#REF!,7,0)*(+DL30+DM30)</f>
        <v>#REF!</v>
      </c>
      <c r="DP30" s="47" t="e">
        <f>VLOOKUP($AB30,#REF!,7,0)*(+DL30+DM30)</f>
        <v>#REF!</v>
      </c>
      <c r="DS30" s="47"/>
      <c r="DU30" s="47" t="e">
        <f t="shared" si="15"/>
        <v>#REF!</v>
      </c>
      <c r="DZ30" s="47" t="e">
        <f t="shared" si="16"/>
        <v>#REF!</v>
      </c>
      <c r="EA30" s="66"/>
    </row>
    <row r="31" spans="1:131" x14ac:dyDescent="0.2">
      <c r="A31" s="38" t="s">
        <v>374</v>
      </c>
      <c r="B31" s="49" t="s">
        <v>324</v>
      </c>
      <c r="C31" s="39" t="s">
        <v>118</v>
      </c>
      <c r="D31" s="39"/>
      <c r="E31" s="40"/>
      <c r="F31" s="41"/>
      <c r="G31" s="41">
        <v>1202</v>
      </c>
      <c r="H31" s="41"/>
      <c r="I31" s="41"/>
      <c r="J31" s="41"/>
      <c r="K31" s="51"/>
      <c r="L31" s="41"/>
      <c r="M31" s="41"/>
      <c r="N31" s="41"/>
      <c r="O31" s="41"/>
      <c r="P31" s="41"/>
      <c r="Q31" s="41"/>
      <c r="R31" s="41"/>
      <c r="S31" s="41">
        <f t="shared" si="26"/>
        <v>-29.31707317073171</v>
      </c>
      <c r="T31" s="42">
        <f t="shared" si="0"/>
        <v>1172.6829268292684</v>
      </c>
      <c r="U31" s="43"/>
      <c r="V31" s="141">
        <v>1172.6829268292684</v>
      </c>
      <c r="W31" s="142" t="s">
        <v>367</v>
      </c>
      <c r="X31" s="142">
        <v>5</v>
      </c>
      <c r="Y31" s="171" t="s">
        <v>423</v>
      </c>
      <c r="Z31" s="171" t="s">
        <v>428</v>
      </c>
      <c r="AA31" s="44" t="s">
        <v>282</v>
      </c>
      <c r="AB31" s="187" t="s">
        <v>456</v>
      </c>
      <c r="AC31" s="10">
        <f t="shared" si="27"/>
        <v>29.31707317073171</v>
      </c>
      <c r="AD31" s="13">
        <v>27.646000000000001</v>
      </c>
      <c r="AE31" s="10"/>
      <c r="AF31" s="10"/>
      <c r="AG31" s="45"/>
      <c r="AH31" s="45"/>
      <c r="AI31" s="45">
        <f t="shared" si="1"/>
        <v>-46.907317073170738</v>
      </c>
      <c r="AJ31" s="41"/>
      <c r="AK31" s="45"/>
      <c r="AL31" s="45"/>
      <c r="AN31" s="128">
        <v>0</v>
      </c>
      <c r="AO31" s="45"/>
      <c r="AP31" s="46">
        <f t="shared" si="2"/>
        <v>1182.7386829268294</v>
      </c>
      <c r="AQ31" s="47"/>
      <c r="AW31" s="48">
        <f t="shared" si="3"/>
        <v>1182.7386829268294</v>
      </c>
      <c r="AX31" s="66"/>
      <c r="AY31" s="47">
        <f t="shared" si="4"/>
        <v>1153.4216097560977</v>
      </c>
      <c r="AZ31" s="47"/>
      <c r="BA31" s="47">
        <f t="shared" si="28"/>
        <v>24.510209207317075</v>
      </c>
      <c r="BB31" s="47" t="e">
        <f>VLOOKUP($AA31,#REF!,3,0)*(+AY31+AZ31)</f>
        <v>#REF!</v>
      </c>
      <c r="BC31" s="47" t="e">
        <f>VLOOKUP($AB31,#REF!,3,0)*(+AY31+AZ31)</f>
        <v>#REF!</v>
      </c>
      <c r="BE31" s="47"/>
      <c r="BF31" s="47"/>
      <c r="BH31" s="47" t="e">
        <f t="shared" si="5"/>
        <v>#REF!</v>
      </c>
      <c r="BM31" s="47" t="e">
        <f t="shared" si="17"/>
        <v>#REF!</v>
      </c>
      <c r="BN31" s="66"/>
      <c r="BO31" s="47" t="e">
        <f t="shared" si="6"/>
        <v>#REF!</v>
      </c>
      <c r="BP31" s="47"/>
      <c r="BQ31" s="47" t="e">
        <f t="shared" si="29"/>
        <v>#REF!</v>
      </c>
      <c r="BR31" s="47" t="e">
        <f>VLOOKUP($AA31,#REF!,4,0)*(+BO31+BP31)</f>
        <v>#REF!</v>
      </c>
      <c r="BS31" s="47" t="e">
        <f>VLOOKUP($AB31,#REF!,4,0)*(+BO31+BP31)</f>
        <v>#REF!</v>
      </c>
      <c r="BV31" s="47"/>
      <c r="BY31" s="47" t="e">
        <f t="shared" si="18"/>
        <v>#REF!</v>
      </c>
      <c r="CD31" s="47" t="e">
        <f t="shared" si="7"/>
        <v>#REF!</v>
      </c>
      <c r="CE31" s="66"/>
      <c r="CF31" s="47" t="e">
        <f t="shared" si="8"/>
        <v>#REF!</v>
      </c>
      <c r="CG31" s="47"/>
      <c r="CH31" s="47" t="e">
        <f t="shared" si="30"/>
        <v>#REF!</v>
      </c>
      <c r="CI31" s="47" t="e">
        <f>VLOOKUP($AA31,#REF!,5,0)*(+CF31+CG31)</f>
        <v>#REF!</v>
      </c>
      <c r="CJ31" s="47" t="e">
        <f>VLOOKUP($AB31,#REF!,5,0)*(+CF31+CG31)</f>
        <v>#REF!</v>
      </c>
      <c r="CM31" s="47"/>
      <c r="CO31" s="47" t="e">
        <f t="shared" si="9"/>
        <v>#REF!</v>
      </c>
      <c r="CT31" s="47" t="e">
        <f t="shared" si="10"/>
        <v>#REF!</v>
      </c>
      <c r="CU31" s="66"/>
      <c r="CV31" s="47" t="e">
        <f t="shared" si="11"/>
        <v>#REF!</v>
      </c>
      <c r="CW31" s="47"/>
      <c r="CX31" s="47" t="e">
        <f t="shared" si="31"/>
        <v>#REF!</v>
      </c>
      <c r="CY31" s="47" t="e">
        <f>VLOOKUP($AA31,#REF!,6,0)*(+CV31+CW31)</f>
        <v>#REF!</v>
      </c>
      <c r="CZ31" s="47" t="e">
        <f>VLOOKUP($AB31,#REF!,6,0)*(+CV31+CW31)</f>
        <v>#REF!</v>
      </c>
      <c r="DC31" s="47"/>
      <c r="DE31" s="47" t="e">
        <f t="shared" si="12"/>
        <v>#REF!</v>
      </c>
      <c r="DJ31" s="47" t="e">
        <f t="shared" si="13"/>
        <v>#REF!</v>
      </c>
      <c r="DK31" s="66"/>
      <c r="DL31" s="47" t="e">
        <f t="shared" si="14"/>
        <v>#REF!</v>
      </c>
      <c r="DM31" s="47"/>
      <c r="DN31" s="47" t="e">
        <f t="shared" si="32"/>
        <v>#REF!</v>
      </c>
      <c r="DO31" s="47" t="e">
        <f>VLOOKUP($AA31,#REF!,7,0)*(+DL31+DM31)</f>
        <v>#REF!</v>
      </c>
      <c r="DP31" s="47" t="e">
        <f>VLOOKUP($AB31,#REF!,7,0)*(+DL31+DM31)</f>
        <v>#REF!</v>
      </c>
      <c r="DS31" s="47"/>
      <c r="DU31" s="47" t="e">
        <f t="shared" si="15"/>
        <v>#REF!</v>
      </c>
      <c r="DZ31" s="47" t="e">
        <f t="shared" si="16"/>
        <v>#REF!</v>
      </c>
      <c r="EA31" s="66"/>
    </row>
    <row r="32" spans="1:131" x14ac:dyDescent="0.2">
      <c r="A32" s="38" t="s">
        <v>374</v>
      </c>
      <c r="B32" s="49" t="s">
        <v>321</v>
      </c>
      <c r="C32" s="39" t="s">
        <v>118</v>
      </c>
      <c r="D32" s="49" t="s">
        <v>327</v>
      </c>
      <c r="E32" s="40"/>
      <c r="F32" s="41"/>
      <c r="G32" s="41">
        <v>13512</v>
      </c>
      <c r="H32" s="41"/>
      <c r="I32" s="41"/>
      <c r="J32" s="41"/>
      <c r="K32" s="51"/>
      <c r="L32" s="41"/>
      <c r="M32" s="41"/>
      <c r="N32" s="41"/>
      <c r="O32" s="41"/>
      <c r="P32" s="41"/>
      <c r="Q32" s="41"/>
      <c r="R32" s="41"/>
      <c r="S32" s="41">
        <f t="shared" si="26"/>
        <v>-329.56097560975616</v>
      </c>
      <c r="T32" s="42">
        <f t="shared" si="0"/>
        <v>13182.439024390244</v>
      </c>
      <c r="U32" s="43"/>
      <c r="V32" s="141">
        <v>-112.5609756097565</v>
      </c>
      <c r="W32" s="142" t="s">
        <v>367</v>
      </c>
      <c r="X32" s="142">
        <v>5</v>
      </c>
      <c r="Y32" s="171" t="s">
        <v>423</v>
      </c>
      <c r="Z32" s="171" t="s">
        <v>428</v>
      </c>
      <c r="AA32" s="44" t="s">
        <v>282</v>
      </c>
      <c r="AB32" s="187" t="s">
        <v>456</v>
      </c>
      <c r="AC32" s="10">
        <f t="shared" si="27"/>
        <v>329.5609756097561</v>
      </c>
      <c r="AD32" s="13">
        <v>310.77600000000001</v>
      </c>
      <c r="AE32" s="10"/>
      <c r="AF32" s="10"/>
      <c r="AG32" s="45"/>
      <c r="AH32" s="45"/>
      <c r="AI32" s="45">
        <f t="shared" si="1"/>
        <v>-527.29756097560971</v>
      </c>
      <c r="AJ32" s="41"/>
      <c r="AK32" s="45"/>
      <c r="AL32" s="45"/>
      <c r="AN32" s="128">
        <v>0</v>
      </c>
      <c r="AO32" s="45"/>
      <c r="AP32" s="46">
        <f t="shared" si="2"/>
        <v>0.47843902438989971</v>
      </c>
      <c r="AQ32" s="47"/>
      <c r="AW32" s="48">
        <f t="shared" si="3"/>
        <v>0.47843902438989971</v>
      </c>
      <c r="AX32" s="66"/>
      <c r="AY32" s="47">
        <f t="shared" si="4"/>
        <v>-329.0825365853662</v>
      </c>
      <c r="AZ32" s="47">
        <v>329</v>
      </c>
      <c r="BA32" s="47">
        <f t="shared" si="28"/>
        <v>-1.7539024390317338E-3</v>
      </c>
      <c r="BB32" s="47" t="e">
        <f>VLOOKUP($AA32,#REF!,3,0)*(+AY32+AZ32)</f>
        <v>#REF!</v>
      </c>
      <c r="BC32" s="47" t="e">
        <f>VLOOKUP($AB32,#REF!,3,0)*(+AY32+AZ32)</f>
        <v>#REF!</v>
      </c>
      <c r="BE32" s="47"/>
      <c r="BF32" s="47"/>
      <c r="BH32" s="47" t="e">
        <f t="shared" si="5"/>
        <v>#REF!</v>
      </c>
      <c r="BM32" s="47" t="e">
        <f t="shared" si="17"/>
        <v>#REF!</v>
      </c>
      <c r="BN32" s="66"/>
      <c r="BO32" s="47" t="e">
        <f t="shared" si="6"/>
        <v>#REF!</v>
      </c>
      <c r="BP32" s="47"/>
      <c r="BQ32" s="47" t="e">
        <f t="shared" si="29"/>
        <v>#REF!</v>
      </c>
      <c r="BR32" s="47" t="e">
        <f>VLOOKUP($AA32,#REF!,4,0)*(+BO32+BP32)</f>
        <v>#REF!</v>
      </c>
      <c r="BS32" s="47" t="e">
        <f>VLOOKUP($AB32,#REF!,4,0)*(+BO32+BP32)</f>
        <v>#REF!</v>
      </c>
      <c r="BV32" s="47"/>
      <c r="BY32" s="47" t="e">
        <f t="shared" si="18"/>
        <v>#REF!</v>
      </c>
      <c r="CD32" s="47" t="e">
        <f t="shared" si="7"/>
        <v>#REF!</v>
      </c>
      <c r="CE32" s="66"/>
      <c r="CF32" s="47" t="e">
        <f t="shared" si="8"/>
        <v>#REF!</v>
      </c>
      <c r="CG32" s="47"/>
      <c r="CH32" s="47" t="e">
        <f t="shared" si="30"/>
        <v>#REF!</v>
      </c>
      <c r="CI32" s="47" t="e">
        <f>VLOOKUP($AA32,#REF!,5,0)*(+CF32+CG32)</f>
        <v>#REF!</v>
      </c>
      <c r="CJ32" s="47" t="e">
        <f>VLOOKUP($AB32,#REF!,5,0)*(+CF32+CG32)</f>
        <v>#REF!</v>
      </c>
      <c r="CM32" s="47"/>
      <c r="CO32" s="47" t="e">
        <f t="shared" si="9"/>
        <v>#REF!</v>
      </c>
      <c r="CT32" s="47" t="e">
        <f t="shared" si="10"/>
        <v>#REF!</v>
      </c>
      <c r="CU32" s="66"/>
      <c r="CV32" s="47" t="e">
        <f t="shared" si="11"/>
        <v>#REF!</v>
      </c>
      <c r="CW32" s="47"/>
      <c r="CX32" s="47" t="e">
        <f t="shared" si="31"/>
        <v>#REF!</v>
      </c>
      <c r="CY32" s="47" t="e">
        <f>VLOOKUP($AA32,#REF!,6,0)*(+CV32+CW32)</f>
        <v>#REF!</v>
      </c>
      <c r="CZ32" s="47" t="e">
        <f>VLOOKUP($AB32,#REF!,6,0)*(+CV32+CW32)</f>
        <v>#REF!</v>
      </c>
      <c r="DC32" s="47"/>
      <c r="DE32" s="47" t="e">
        <f t="shared" si="12"/>
        <v>#REF!</v>
      </c>
      <c r="DJ32" s="47" t="e">
        <f t="shared" si="13"/>
        <v>#REF!</v>
      </c>
      <c r="DK32" s="66"/>
      <c r="DL32" s="47" t="e">
        <f t="shared" si="14"/>
        <v>#REF!</v>
      </c>
      <c r="DM32" s="47"/>
      <c r="DN32" s="47" t="e">
        <f t="shared" si="32"/>
        <v>#REF!</v>
      </c>
      <c r="DO32" s="47" t="e">
        <f>VLOOKUP($AA32,#REF!,7,0)*(+DL32+DM32)</f>
        <v>#REF!</v>
      </c>
      <c r="DP32" s="47" t="e">
        <f>VLOOKUP($AB32,#REF!,7,0)*(+DL32+DM32)</f>
        <v>#REF!</v>
      </c>
      <c r="DS32" s="47"/>
      <c r="DU32" s="47" t="e">
        <f t="shared" si="15"/>
        <v>#REF!</v>
      </c>
      <c r="DZ32" s="47" t="e">
        <f t="shared" si="16"/>
        <v>#REF!</v>
      </c>
      <c r="EA32" s="66"/>
    </row>
    <row r="33" spans="1:131" x14ac:dyDescent="0.2">
      <c r="A33" s="38" t="s">
        <v>374</v>
      </c>
      <c r="B33" s="49" t="s">
        <v>322</v>
      </c>
      <c r="C33" s="39" t="s">
        <v>118</v>
      </c>
      <c r="D33" s="49" t="s">
        <v>332</v>
      </c>
      <c r="E33" s="40"/>
      <c r="F33" s="41"/>
      <c r="G33" s="41">
        <v>315286</v>
      </c>
      <c r="H33" s="41"/>
      <c r="I33" s="41"/>
      <c r="J33" s="41"/>
      <c r="K33" s="51"/>
      <c r="L33" s="41"/>
      <c r="M33" s="41"/>
      <c r="N33" s="41"/>
      <c r="O33" s="41"/>
      <c r="P33" s="41"/>
      <c r="Q33" s="41"/>
      <c r="R33" s="41"/>
      <c r="S33" s="41">
        <f t="shared" si="26"/>
        <v>-7689.9024390243912</v>
      </c>
      <c r="T33" s="42">
        <f t="shared" si="0"/>
        <v>307596.09756097558</v>
      </c>
      <c r="U33" s="43"/>
      <c r="V33" s="141">
        <v>307596.09756097558</v>
      </c>
      <c r="W33" s="142" t="s">
        <v>367</v>
      </c>
      <c r="X33" s="142">
        <v>5</v>
      </c>
      <c r="Y33" s="171" t="s">
        <v>423</v>
      </c>
      <c r="Z33" s="171" t="s">
        <v>428</v>
      </c>
      <c r="AA33" s="44" t="s">
        <v>282</v>
      </c>
      <c r="AB33" s="187" t="s">
        <v>456</v>
      </c>
      <c r="AC33" s="10">
        <f t="shared" si="27"/>
        <v>7689.9024390243903</v>
      </c>
      <c r="AD33" s="13">
        <v>7251.5779999999995</v>
      </c>
      <c r="AE33" s="10"/>
      <c r="AF33" s="10"/>
      <c r="AG33" s="45"/>
      <c r="AH33" s="45"/>
      <c r="AI33" s="45">
        <f t="shared" si="1"/>
        <v>-12303.843902439025</v>
      </c>
      <c r="AJ33" s="41"/>
      <c r="AK33" s="45"/>
      <c r="AL33" s="45"/>
      <c r="AN33" s="128">
        <v>-310234</v>
      </c>
      <c r="AO33" s="45"/>
      <c r="AP33" s="46">
        <f t="shared" si="2"/>
        <v>-0.26590243907412514</v>
      </c>
      <c r="AQ33" s="47"/>
      <c r="AW33" s="48">
        <f t="shared" si="3"/>
        <v>-0.26590243907412514</v>
      </c>
      <c r="AX33" s="66"/>
      <c r="AY33" s="47">
        <f t="shared" si="4"/>
        <v>-7690.1683414634645</v>
      </c>
      <c r="AZ33" s="47">
        <v>7690</v>
      </c>
      <c r="BA33" s="47">
        <f t="shared" si="28"/>
        <v>-3.5772560986197278E-3</v>
      </c>
      <c r="BB33" s="47" t="e">
        <f>VLOOKUP($AA33,#REF!,3,0)*(+AY33+AZ33)</f>
        <v>#REF!</v>
      </c>
      <c r="BC33" s="47" t="e">
        <f>VLOOKUP($AB33,#REF!,3,0)*(+AY33+AZ33)</f>
        <v>#REF!</v>
      </c>
      <c r="BE33" s="47"/>
      <c r="BF33" s="47"/>
      <c r="BH33" s="47" t="e">
        <f t="shared" si="5"/>
        <v>#REF!</v>
      </c>
      <c r="BM33" s="47" t="e">
        <f t="shared" si="17"/>
        <v>#REF!</v>
      </c>
      <c r="BN33" s="66"/>
      <c r="BO33" s="47" t="e">
        <f t="shared" si="6"/>
        <v>#REF!</v>
      </c>
      <c r="BP33" s="47"/>
      <c r="BQ33" s="47" t="e">
        <f t="shared" si="29"/>
        <v>#REF!</v>
      </c>
      <c r="BR33" s="47" t="e">
        <f>VLOOKUP($AA33,#REF!,4,0)*(+BO33+BP33)</f>
        <v>#REF!</v>
      </c>
      <c r="BS33" s="47" t="e">
        <f>VLOOKUP($AB33,#REF!,4,0)*(+BO33+BP33)</f>
        <v>#REF!</v>
      </c>
      <c r="BV33" s="47"/>
      <c r="BY33" s="47" t="e">
        <f t="shared" si="18"/>
        <v>#REF!</v>
      </c>
      <c r="CD33" s="47" t="e">
        <f t="shared" si="7"/>
        <v>#REF!</v>
      </c>
      <c r="CE33" s="66"/>
      <c r="CF33" s="47" t="e">
        <f t="shared" si="8"/>
        <v>#REF!</v>
      </c>
      <c r="CG33" s="47"/>
      <c r="CH33" s="47" t="e">
        <f t="shared" si="30"/>
        <v>#REF!</v>
      </c>
      <c r="CI33" s="47" t="e">
        <f>VLOOKUP($AA33,#REF!,5,0)*(+CF33+CG33)</f>
        <v>#REF!</v>
      </c>
      <c r="CJ33" s="47" t="e">
        <f>VLOOKUP($AB33,#REF!,5,0)*(+CF33+CG33)</f>
        <v>#REF!</v>
      </c>
      <c r="CM33" s="47"/>
      <c r="CO33" s="47" t="e">
        <f t="shared" si="9"/>
        <v>#REF!</v>
      </c>
      <c r="CT33" s="47" t="e">
        <f t="shared" si="10"/>
        <v>#REF!</v>
      </c>
      <c r="CU33" s="66"/>
      <c r="CV33" s="47" t="e">
        <f t="shared" si="11"/>
        <v>#REF!</v>
      </c>
      <c r="CW33" s="47"/>
      <c r="CX33" s="47" t="e">
        <f t="shared" si="31"/>
        <v>#REF!</v>
      </c>
      <c r="CY33" s="47" t="e">
        <f>VLOOKUP($AA33,#REF!,6,0)*(+CV33+CW33)</f>
        <v>#REF!</v>
      </c>
      <c r="CZ33" s="47" t="e">
        <f>VLOOKUP($AB33,#REF!,6,0)*(+CV33+CW33)</f>
        <v>#REF!</v>
      </c>
      <c r="DC33" s="47"/>
      <c r="DE33" s="47" t="e">
        <f t="shared" si="12"/>
        <v>#REF!</v>
      </c>
      <c r="DJ33" s="47" t="e">
        <f t="shared" si="13"/>
        <v>#REF!</v>
      </c>
      <c r="DK33" s="66"/>
      <c r="DL33" s="47" t="e">
        <f t="shared" si="14"/>
        <v>#REF!</v>
      </c>
      <c r="DM33" s="47"/>
      <c r="DN33" s="47" t="e">
        <f t="shared" si="32"/>
        <v>#REF!</v>
      </c>
      <c r="DO33" s="47" t="e">
        <f>VLOOKUP($AA33,#REF!,7,0)*(+DL33+DM33)</f>
        <v>#REF!</v>
      </c>
      <c r="DP33" s="47" t="e">
        <f>VLOOKUP($AB33,#REF!,7,0)*(+DL33+DM33)</f>
        <v>#REF!</v>
      </c>
      <c r="DS33" s="47"/>
      <c r="DU33" s="47" t="e">
        <f t="shared" si="15"/>
        <v>#REF!</v>
      </c>
      <c r="DZ33" s="47" t="e">
        <f t="shared" si="16"/>
        <v>#REF!</v>
      </c>
      <c r="EA33" s="66"/>
    </row>
    <row r="34" spans="1:131" x14ac:dyDescent="0.2">
      <c r="A34" s="38" t="s">
        <v>374</v>
      </c>
      <c r="B34" s="49" t="s">
        <v>323</v>
      </c>
      <c r="C34" s="39" t="s">
        <v>118</v>
      </c>
      <c r="D34" s="49" t="s">
        <v>333</v>
      </c>
      <c r="E34" s="40"/>
      <c r="F34" s="41"/>
      <c r="G34" s="41">
        <v>75375</v>
      </c>
      <c r="H34" s="41"/>
      <c r="I34" s="41"/>
      <c r="J34" s="41"/>
      <c r="K34" s="51"/>
      <c r="L34" s="41"/>
      <c r="M34" s="41"/>
      <c r="N34" s="41"/>
      <c r="O34" s="41"/>
      <c r="P34" s="41"/>
      <c r="Q34" s="41"/>
      <c r="R34" s="41"/>
      <c r="S34" s="41">
        <f t="shared" si="26"/>
        <v>-1838.4146341463418</v>
      </c>
      <c r="T34" s="42">
        <f t="shared" si="0"/>
        <v>73536.585365853665</v>
      </c>
      <c r="U34" s="43"/>
      <c r="V34" s="141">
        <v>-630.41463414633472</v>
      </c>
      <c r="W34" s="142" t="s">
        <v>367</v>
      </c>
      <c r="X34" s="142">
        <v>5</v>
      </c>
      <c r="Y34" s="171" t="s">
        <v>423</v>
      </c>
      <c r="Z34" s="171" t="s">
        <v>428</v>
      </c>
      <c r="AA34" s="44" t="s">
        <v>282</v>
      </c>
      <c r="AB34" s="187" t="s">
        <v>456</v>
      </c>
      <c r="AC34" s="10">
        <f t="shared" si="27"/>
        <v>1838.4146341463418</v>
      </c>
      <c r="AD34" s="13">
        <v>1733.625</v>
      </c>
      <c r="AE34" s="10"/>
      <c r="AF34" s="10"/>
      <c r="AG34" s="45"/>
      <c r="AH34" s="45"/>
      <c r="AI34" s="45">
        <f t="shared" si="1"/>
        <v>-2941.4634146341468</v>
      </c>
      <c r="AJ34" s="41"/>
      <c r="AK34" s="45"/>
      <c r="AL34" s="45"/>
      <c r="AN34" s="128">
        <v>0</v>
      </c>
      <c r="AO34" s="45"/>
      <c r="AP34" s="46">
        <f t="shared" si="2"/>
        <v>0.16158536586044647</v>
      </c>
      <c r="AQ34" s="47"/>
      <c r="AW34" s="48">
        <f t="shared" si="3"/>
        <v>0.16158536586044647</v>
      </c>
      <c r="AX34" s="66"/>
      <c r="AY34" s="47">
        <f t="shared" si="4"/>
        <v>-1838.2530487804813</v>
      </c>
      <c r="AZ34" s="47">
        <v>1838</v>
      </c>
      <c r="BA34" s="47">
        <f t="shared" si="28"/>
        <v>-5.377286585228091E-3</v>
      </c>
      <c r="BB34" s="47" t="e">
        <f>VLOOKUP($AA34,#REF!,3,0)*(+AY34+AZ34)</f>
        <v>#REF!</v>
      </c>
      <c r="BC34" s="47" t="e">
        <f>VLOOKUP($AB34,#REF!,3,0)*(+AY34+AZ34)</f>
        <v>#REF!</v>
      </c>
      <c r="BE34" s="47"/>
      <c r="BF34" s="47"/>
      <c r="BH34" s="47" t="e">
        <f t="shared" si="5"/>
        <v>#REF!</v>
      </c>
      <c r="BM34" s="47" t="e">
        <f t="shared" si="17"/>
        <v>#REF!</v>
      </c>
      <c r="BN34" s="66"/>
      <c r="BO34" s="47" t="e">
        <f t="shared" si="6"/>
        <v>#REF!</v>
      </c>
      <c r="BP34" s="47"/>
      <c r="BQ34" s="47" t="e">
        <f t="shared" si="29"/>
        <v>#REF!</v>
      </c>
      <c r="BR34" s="47" t="e">
        <f>VLOOKUP($AA34,#REF!,4,0)*(+BO34+BP34)</f>
        <v>#REF!</v>
      </c>
      <c r="BS34" s="47" t="e">
        <f>VLOOKUP($AB34,#REF!,4,0)*(+BO34+BP34)</f>
        <v>#REF!</v>
      </c>
      <c r="BV34" s="47"/>
      <c r="BY34" s="47" t="e">
        <f t="shared" si="18"/>
        <v>#REF!</v>
      </c>
      <c r="CD34" s="47" t="e">
        <f t="shared" si="7"/>
        <v>#REF!</v>
      </c>
      <c r="CE34" s="66"/>
      <c r="CF34" s="47" t="e">
        <f t="shared" si="8"/>
        <v>#REF!</v>
      </c>
      <c r="CG34" s="47"/>
      <c r="CH34" s="47" t="e">
        <f t="shared" si="30"/>
        <v>#REF!</v>
      </c>
      <c r="CI34" s="47" t="e">
        <f>VLOOKUP($AA34,#REF!,5,0)*(+CF34+CG34)</f>
        <v>#REF!</v>
      </c>
      <c r="CJ34" s="47" t="e">
        <f>VLOOKUP($AB34,#REF!,5,0)*(+CF34+CG34)</f>
        <v>#REF!</v>
      </c>
      <c r="CM34" s="47"/>
      <c r="CO34" s="47" t="e">
        <f t="shared" si="9"/>
        <v>#REF!</v>
      </c>
      <c r="CT34" s="47" t="e">
        <f t="shared" si="10"/>
        <v>#REF!</v>
      </c>
      <c r="CU34" s="66"/>
      <c r="CV34" s="47" t="e">
        <f t="shared" si="11"/>
        <v>#REF!</v>
      </c>
      <c r="CW34" s="47"/>
      <c r="CX34" s="47" t="e">
        <f t="shared" si="31"/>
        <v>#REF!</v>
      </c>
      <c r="CY34" s="47" t="e">
        <f>VLOOKUP($AA34,#REF!,6,0)*(+CV34+CW34)</f>
        <v>#REF!</v>
      </c>
      <c r="CZ34" s="47" t="e">
        <f>VLOOKUP($AB34,#REF!,6,0)*(+CV34+CW34)</f>
        <v>#REF!</v>
      </c>
      <c r="DC34" s="47"/>
      <c r="DE34" s="47" t="e">
        <f t="shared" si="12"/>
        <v>#REF!</v>
      </c>
      <c r="DJ34" s="47" t="e">
        <f t="shared" si="13"/>
        <v>#REF!</v>
      </c>
      <c r="DK34" s="66"/>
      <c r="DL34" s="47" t="e">
        <f t="shared" si="14"/>
        <v>#REF!</v>
      </c>
      <c r="DM34" s="47"/>
      <c r="DN34" s="47" t="e">
        <f t="shared" si="32"/>
        <v>#REF!</v>
      </c>
      <c r="DO34" s="47" t="e">
        <f>VLOOKUP($AA34,#REF!,7,0)*(+DL34+DM34)</f>
        <v>#REF!</v>
      </c>
      <c r="DP34" s="47" t="e">
        <f>VLOOKUP($AB34,#REF!,7,0)*(+DL34+DM34)</f>
        <v>#REF!</v>
      </c>
      <c r="DS34" s="47"/>
      <c r="DU34" s="47" t="e">
        <f t="shared" si="15"/>
        <v>#REF!</v>
      </c>
      <c r="DZ34" s="47" t="e">
        <f t="shared" si="16"/>
        <v>#REF!</v>
      </c>
      <c r="EA34" s="66"/>
    </row>
    <row r="35" spans="1:131" x14ac:dyDescent="0.2">
      <c r="A35" s="38" t="s">
        <v>374</v>
      </c>
      <c r="B35" s="39" t="s">
        <v>119</v>
      </c>
      <c r="C35" s="39" t="s">
        <v>120</v>
      </c>
      <c r="D35" s="49"/>
      <c r="E35" s="40">
        <v>6625106</v>
      </c>
      <c r="F35" s="41"/>
      <c r="G35" s="41"/>
      <c r="H35" s="41"/>
      <c r="I35" s="41"/>
      <c r="J35" s="41"/>
      <c r="K35" s="51"/>
      <c r="L35" s="41"/>
      <c r="M35" s="41"/>
      <c r="N35" s="41"/>
      <c r="O35" s="41"/>
      <c r="P35" s="41"/>
      <c r="Q35" s="41"/>
      <c r="R35" s="41"/>
      <c r="S35" s="41">
        <f t="shared" si="26"/>
        <v>-161587.95121951224</v>
      </c>
      <c r="T35" s="42">
        <f t="shared" si="0"/>
        <v>6463518.0487804879</v>
      </c>
      <c r="U35" s="43"/>
      <c r="V35" s="141">
        <v>6463518.0487804879</v>
      </c>
      <c r="W35" s="142" t="s">
        <v>367</v>
      </c>
      <c r="X35" s="142">
        <v>5</v>
      </c>
      <c r="Y35" s="171" t="s">
        <v>423</v>
      </c>
      <c r="Z35" s="171" t="s">
        <v>428</v>
      </c>
      <c r="AA35" s="44" t="s">
        <v>282</v>
      </c>
      <c r="AB35" s="187" t="s">
        <v>456</v>
      </c>
      <c r="AC35" s="10">
        <f t="shared" si="27"/>
        <v>161587.95121951221</v>
      </c>
      <c r="AD35" s="13">
        <v>152377.43799999999</v>
      </c>
      <c r="AE35" s="10"/>
      <c r="AF35" s="10"/>
      <c r="AG35" s="45"/>
      <c r="AH35" s="45"/>
      <c r="AI35" s="45">
        <f t="shared" si="1"/>
        <v>-258540.72195121952</v>
      </c>
      <c r="AJ35" s="41"/>
      <c r="AK35" s="45"/>
      <c r="AL35" s="45"/>
      <c r="AN35" s="128">
        <v>821067</v>
      </c>
      <c r="AO35" s="45"/>
      <c r="AP35" s="46">
        <f t="shared" si="2"/>
        <v>7340009.7160487808</v>
      </c>
      <c r="AQ35" s="47"/>
      <c r="AW35" s="48">
        <f t="shared" si="3"/>
        <v>7340009.7160487808</v>
      </c>
      <c r="AX35" s="66"/>
      <c r="AY35" s="47">
        <f t="shared" si="4"/>
        <v>7178421.7648292687</v>
      </c>
      <c r="AZ35" s="47"/>
      <c r="BA35" s="47">
        <f t="shared" si="28"/>
        <v>152541.46250262196</v>
      </c>
      <c r="BB35" s="47" t="e">
        <f>VLOOKUP($AA35,#REF!,3,0)*(+AY35+AZ35)</f>
        <v>#REF!</v>
      </c>
      <c r="BC35" s="47" t="e">
        <f>VLOOKUP($AB35,#REF!,3,0)*(+AY35+AZ35)</f>
        <v>#REF!</v>
      </c>
      <c r="BE35" s="47"/>
      <c r="BF35" s="47"/>
      <c r="BH35" s="47" t="e">
        <f t="shared" si="5"/>
        <v>#REF!</v>
      </c>
      <c r="BM35" s="47" t="e">
        <f t="shared" si="17"/>
        <v>#REF!</v>
      </c>
      <c r="BN35" s="66"/>
      <c r="BO35" s="47" t="e">
        <f t="shared" si="6"/>
        <v>#REF!</v>
      </c>
      <c r="BP35" s="47"/>
      <c r="BQ35" s="47" t="e">
        <f t="shared" si="29"/>
        <v>#REF!</v>
      </c>
      <c r="BR35" s="47" t="e">
        <f>VLOOKUP($AA35,#REF!,4,0)*(+BO35+BP35)</f>
        <v>#REF!</v>
      </c>
      <c r="BS35" s="47" t="e">
        <f>VLOOKUP($AB35,#REF!,4,0)*(+BO35+BP35)</f>
        <v>#REF!</v>
      </c>
      <c r="BV35" s="47"/>
      <c r="BY35" s="47" t="e">
        <f t="shared" si="18"/>
        <v>#REF!</v>
      </c>
      <c r="CD35" s="47" t="e">
        <f t="shared" si="7"/>
        <v>#REF!</v>
      </c>
      <c r="CE35" s="66"/>
      <c r="CF35" s="47" t="e">
        <f t="shared" si="8"/>
        <v>#REF!</v>
      </c>
      <c r="CG35" s="47"/>
      <c r="CH35" s="47" t="e">
        <f t="shared" si="30"/>
        <v>#REF!</v>
      </c>
      <c r="CI35" s="47" t="e">
        <f>VLOOKUP($AA35,#REF!,5,0)*(+CF35+CG35)</f>
        <v>#REF!</v>
      </c>
      <c r="CJ35" s="47" t="e">
        <f>VLOOKUP($AB35,#REF!,5,0)*(+CF35+CG35)</f>
        <v>#REF!</v>
      </c>
      <c r="CM35" s="47"/>
      <c r="CO35" s="47" t="e">
        <f t="shared" si="9"/>
        <v>#REF!</v>
      </c>
      <c r="CT35" s="47" t="e">
        <f t="shared" si="10"/>
        <v>#REF!</v>
      </c>
      <c r="CU35" s="66"/>
      <c r="CV35" s="47" t="e">
        <f t="shared" si="11"/>
        <v>#REF!</v>
      </c>
      <c r="CW35" s="47"/>
      <c r="CX35" s="47" t="e">
        <f t="shared" si="31"/>
        <v>#REF!</v>
      </c>
      <c r="CY35" s="47" t="e">
        <f>VLOOKUP($AA35,#REF!,6,0)*(+CV35+CW35)</f>
        <v>#REF!</v>
      </c>
      <c r="CZ35" s="47" t="e">
        <f>VLOOKUP($AB35,#REF!,6,0)*(+CV35+CW35)</f>
        <v>#REF!</v>
      </c>
      <c r="DC35" s="47"/>
      <c r="DE35" s="47" t="e">
        <f t="shared" si="12"/>
        <v>#REF!</v>
      </c>
      <c r="DJ35" s="47" t="e">
        <f t="shared" si="13"/>
        <v>#REF!</v>
      </c>
      <c r="DK35" s="66"/>
      <c r="DL35" s="47" t="e">
        <f t="shared" si="14"/>
        <v>#REF!</v>
      </c>
      <c r="DM35" s="47"/>
      <c r="DN35" s="47" t="e">
        <f t="shared" si="32"/>
        <v>#REF!</v>
      </c>
      <c r="DO35" s="47" t="e">
        <f>VLOOKUP($AA35,#REF!,7,0)*(+DL35+DM35)</f>
        <v>#REF!</v>
      </c>
      <c r="DP35" s="47" t="e">
        <f>VLOOKUP($AB35,#REF!,7,0)*(+DL35+DM35)</f>
        <v>#REF!</v>
      </c>
      <c r="DS35" s="47"/>
      <c r="DU35" s="47" t="e">
        <f t="shared" si="15"/>
        <v>#REF!</v>
      </c>
      <c r="DZ35" s="47" t="e">
        <f t="shared" si="16"/>
        <v>#REF!</v>
      </c>
      <c r="EA35" s="66"/>
    </row>
    <row r="36" spans="1:131" x14ac:dyDescent="0.2">
      <c r="A36" s="38" t="s">
        <v>374</v>
      </c>
      <c r="B36" s="39" t="s">
        <v>121</v>
      </c>
      <c r="C36" s="39" t="s">
        <v>122</v>
      </c>
      <c r="D36" s="49"/>
      <c r="E36" s="40">
        <v>1129639</v>
      </c>
      <c r="F36" s="41"/>
      <c r="G36" s="41"/>
      <c r="H36" s="41"/>
      <c r="I36" s="41"/>
      <c r="J36" s="41"/>
      <c r="K36" s="51"/>
      <c r="L36" s="41"/>
      <c r="M36" s="41"/>
      <c r="N36" s="41"/>
      <c r="O36" s="41"/>
      <c r="P36" s="41"/>
      <c r="Q36" s="41"/>
      <c r="R36" s="41"/>
      <c r="S36" s="41">
        <f t="shared" si="26"/>
        <v>-27552.17073170732</v>
      </c>
      <c r="T36" s="42">
        <f t="shared" si="0"/>
        <v>1102086.8292682928</v>
      </c>
      <c r="U36" s="43"/>
      <c r="V36" s="141">
        <v>1102086.8292682928</v>
      </c>
      <c r="W36" s="142" t="s">
        <v>367</v>
      </c>
      <c r="X36" s="142">
        <v>5</v>
      </c>
      <c r="Y36" s="171" t="s">
        <v>423</v>
      </c>
      <c r="Z36" s="171" t="s">
        <v>428</v>
      </c>
      <c r="AA36" s="44" t="s">
        <v>282</v>
      </c>
      <c r="AB36" s="187" t="s">
        <v>456</v>
      </c>
      <c r="AC36" s="10">
        <f t="shared" si="27"/>
        <v>27552.17073170732</v>
      </c>
      <c r="AD36" s="13">
        <v>25981.697</v>
      </c>
      <c r="AE36" s="10"/>
      <c r="AF36" s="10"/>
      <c r="AG36" s="45"/>
      <c r="AH36" s="45"/>
      <c r="AI36" s="45">
        <f t="shared" si="1"/>
        <v>-44083.473170731711</v>
      </c>
      <c r="AJ36" s="41"/>
      <c r="AK36" s="45"/>
      <c r="AL36" s="45"/>
      <c r="AN36" s="128">
        <v>0</v>
      </c>
      <c r="AO36" s="45"/>
      <c r="AP36" s="46">
        <f t="shared" si="2"/>
        <v>1111537.2238292685</v>
      </c>
      <c r="AQ36" s="47"/>
      <c r="AW36" s="48">
        <f t="shared" si="3"/>
        <v>1111537.2238292685</v>
      </c>
      <c r="AX36" s="66"/>
      <c r="AY36" s="47">
        <f t="shared" si="4"/>
        <v>1083985.0530975612</v>
      </c>
      <c r="AZ36" s="47"/>
      <c r="BA36" s="47">
        <f t="shared" si="28"/>
        <v>23034.682378323178</v>
      </c>
      <c r="BB36" s="47" t="e">
        <f>VLOOKUP($AA36,#REF!,3,0)*(+AY36+AZ36)</f>
        <v>#REF!</v>
      </c>
      <c r="BC36" s="47" t="e">
        <f>VLOOKUP($AB36,#REF!,3,0)*(+AY36+AZ36)</f>
        <v>#REF!</v>
      </c>
      <c r="BE36" s="47"/>
      <c r="BF36" s="47"/>
      <c r="BH36" s="47" t="e">
        <f t="shared" si="5"/>
        <v>#REF!</v>
      </c>
      <c r="BM36" s="47" t="e">
        <f t="shared" si="17"/>
        <v>#REF!</v>
      </c>
      <c r="BN36" s="66"/>
      <c r="BO36" s="47" t="e">
        <f t="shared" si="6"/>
        <v>#REF!</v>
      </c>
      <c r="BP36" s="47"/>
      <c r="BQ36" s="47" t="e">
        <f t="shared" si="29"/>
        <v>#REF!</v>
      </c>
      <c r="BR36" s="47" t="e">
        <f>VLOOKUP($AA36,#REF!,4,0)*(+BO36+BP36)</f>
        <v>#REF!</v>
      </c>
      <c r="BS36" s="47" t="e">
        <f>VLOOKUP($AB36,#REF!,4,0)*(+BO36+BP36)</f>
        <v>#REF!</v>
      </c>
      <c r="BV36" s="47"/>
      <c r="BY36" s="47" t="e">
        <f t="shared" si="18"/>
        <v>#REF!</v>
      </c>
      <c r="CD36" s="47" t="e">
        <f t="shared" si="7"/>
        <v>#REF!</v>
      </c>
      <c r="CE36" s="66"/>
      <c r="CF36" s="47" t="e">
        <f t="shared" si="8"/>
        <v>#REF!</v>
      </c>
      <c r="CG36" s="47"/>
      <c r="CH36" s="47" t="e">
        <f t="shared" si="30"/>
        <v>#REF!</v>
      </c>
      <c r="CI36" s="47" t="e">
        <f>VLOOKUP($AA36,#REF!,5,0)*(+CF36+CG36)</f>
        <v>#REF!</v>
      </c>
      <c r="CJ36" s="47" t="e">
        <f>VLOOKUP($AB36,#REF!,5,0)*(+CF36+CG36)</f>
        <v>#REF!</v>
      </c>
      <c r="CM36" s="47"/>
      <c r="CO36" s="47" t="e">
        <f t="shared" si="9"/>
        <v>#REF!</v>
      </c>
      <c r="CT36" s="47" t="e">
        <f t="shared" si="10"/>
        <v>#REF!</v>
      </c>
      <c r="CU36" s="66"/>
      <c r="CV36" s="47" t="e">
        <f t="shared" si="11"/>
        <v>#REF!</v>
      </c>
      <c r="CW36" s="47"/>
      <c r="CX36" s="47" t="e">
        <f t="shared" si="31"/>
        <v>#REF!</v>
      </c>
      <c r="CY36" s="47" t="e">
        <f>VLOOKUP($AA36,#REF!,6,0)*(+CV36+CW36)</f>
        <v>#REF!</v>
      </c>
      <c r="CZ36" s="47" t="e">
        <f>VLOOKUP($AB36,#REF!,6,0)*(+CV36+CW36)</f>
        <v>#REF!</v>
      </c>
      <c r="DC36" s="47"/>
      <c r="DE36" s="47" t="e">
        <f t="shared" si="12"/>
        <v>#REF!</v>
      </c>
      <c r="DJ36" s="47" t="e">
        <f t="shared" si="13"/>
        <v>#REF!</v>
      </c>
      <c r="DK36" s="66"/>
      <c r="DL36" s="47" t="e">
        <f t="shared" si="14"/>
        <v>#REF!</v>
      </c>
      <c r="DM36" s="47"/>
      <c r="DN36" s="47" t="e">
        <f t="shared" si="32"/>
        <v>#REF!</v>
      </c>
      <c r="DO36" s="47" t="e">
        <f>VLOOKUP($AA36,#REF!,7,0)*(+DL36+DM36)</f>
        <v>#REF!</v>
      </c>
      <c r="DP36" s="47" t="e">
        <f>VLOOKUP($AB36,#REF!,7,0)*(+DL36+DM36)</f>
        <v>#REF!</v>
      </c>
      <c r="DS36" s="47"/>
      <c r="DU36" s="47" t="e">
        <f t="shared" si="15"/>
        <v>#REF!</v>
      </c>
      <c r="DZ36" s="47" t="e">
        <f t="shared" si="16"/>
        <v>#REF!</v>
      </c>
      <c r="EA36" s="66"/>
    </row>
    <row r="37" spans="1:131" x14ac:dyDescent="0.2">
      <c r="A37" s="38" t="s">
        <v>374</v>
      </c>
      <c r="B37" s="39" t="s">
        <v>123</v>
      </c>
      <c r="C37" s="39" t="s">
        <v>124</v>
      </c>
      <c r="D37" s="39"/>
      <c r="E37" s="40">
        <v>213155</v>
      </c>
      <c r="F37" s="41"/>
      <c r="G37" s="41"/>
      <c r="H37" s="41"/>
      <c r="I37" s="41">
        <v>-213155</v>
      </c>
      <c r="J37" s="41"/>
      <c r="K37" s="51"/>
      <c r="L37" s="41"/>
      <c r="M37" s="41"/>
      <c r="N37" s="41"/>
      <c r="O37" s="41"/>
      <c r="P37" s="41"/>
      <c r="Q37" s="41"/>
      <c r="R37" s="41"/>
      <c r="S37" s="41"/>
      <c r="T37" s="42">
        <f t="shared" si="0"/>
        <v>0</v>
      </c>
      <c r="U37" s="43"/>
      <c r="V37" s="141">
        <v>0</v>
      </c>
      <c r="W37" s="142" t="s">
        <v>367</v>
      </c>
      <c r="X37" s="142">
        <v>5</v>
      </c>
      <c r="Y37" s="171" t="s">
        <v>423</v>
      </c>
      <c r="Z37" s="171" t="s">
        <v>428</v>
      </c>
      <c r="AA37" s="44" t="s">
        <v>282</v>
      </c>
      <c r="AB37" s="187" t="s">
        <v>456</v>
      </c>
      <c r="AC37" s="10">
        <f t="shared" si="27"/>
        <v>0</v>
      </c>
      <c r="AD37" s="13">
        <v>0</v>
      </c>
      <c r="AE37" s="10"/>
      <c r="AF37" s="10"/>
      <c r="AG37" s="45"/>
      <c r="AH37" s="45"/>
      <c r="AI37" s="45">
        <f t="shared" si="1"/>
        <v>0</v>
      </c>
      <c r="AJ37" s="41"/>
      <c r="AK37" s="45"/>
      <c r="AL37" s="45"/>
      <c r="AN37" s="128">
        <v>0</v>
      </c>
      <c r="AO37" s="45"/>
      <c r="AP37" s="46">
        <f t="shared" si="2"/>
        <v>0</v>
      </c>
      <c r="AQ37" s="47"/>
      <c r="AW37" s="48">
        <f t="shared" si="3"/>
        <v>0</v>
      </c>
      <c r="AX37" s="66"/>
      <c r="AY37" s="47">
        <f t="shared" si="4"/>
        <v>0</v>
      </c>
      <c r="AZ37" s="47"/>
      <c r="BA37" s="47">
        <f t="shared" si="28"/>
        <v>0</v>
      </c>
      <c r="BB37" s="47" t="e">
        <f>VLOOKUP($AA37,#REF!,3,0)*(+AY37+AZ37)</f>
        <v>#REF!</v>
      </c>
      <c r="BC37" s="47" t="e">
        <f>VLOOKUP($AB37,#REF!,3,0)*(+AY37+AZ37)</f>
        <v>#REF!</v>
      </c>
      <c r="BE37" s="47"/>
      <c r="BF37" s="47"/>
      <c r="BH37" s="47" t="e">
        <f t="shared" si="5"/>
        <v>#REF!</v>
      </c>
      <c r="BM37" s="47" t="e">
        <f t="shared" si="17"/>
        <v>#REF!</v>
      </c>
      <c r="BN37" s="66"/>
      <c r="BO37" s="47" t="e">
        <f t="shared" si="6"/>
        <v>#REF!</v>
      </c>
      <c r="BP37" s="47"/>
      <c r="BQ37" s="47" t="e">
        <f t="shared" si="29"/>
        <v>#REF!</v>
      </c>
      <c r="BR37" s="47" t="e">
        <f>VLOOKUP($AA37,#REF!,4,0)*(+BO37+BP37)</f>
        <v>#REF!</v>
      </c>
      <c r="BS37" s="47" t="e">
        <f>VLOOKUP($AB37,#REF!,4,0)*(+BO37+BP37)</f>
        <v>#REF!</v>
      </c>
      <c r="BV37" s="47"/>
      <c r="BY37" s="47" t="e">
        <f t="shared" si="18"/>
        <v>#REF!</v>
      </c>
      <c r="CD37" s="47" t="e">
        <f t="shared" si="7"/>
        <v>#REF!</v>
      </c>
      <c r="CE37" s="66"/>
      <c r="CF37" s="47" t="e">
        <f t="shared" si="8"/>
        <v>#REF!</v>
      </c>
      <c r="CG37" s="47"/>
      <c r="CH37" s="47" t="e">
        <f t="shared" si="30"/>
        <v>#REF!</v>
      </c>
      <c r="CI37" s="47" t="e">
        <f>VLOOKUP($AA37,#REF!,5,0)*(+CF37+CG37)</f>
        <v>#REF!</v>
      </c>
      <c r="CJ37" s="47" t="e">
        <f>VLOOKUP($AB37,#REF!,5,0)*(+CF37+CG37)</f>
        <v>#REF!</v>
      </c>
      <c r="CM37" s="47"/>
      <c r="CO37" s="47" t="e">
        <f t="shared" si="9"/>
        <v>#REF!</v>
      </c>
      <c r="CT37" s="47" t="e">
        <f t="shared" si="10"/>
        <v>#REF!</v>
      </c>
      <c r="CU37" s="66"/>
      <c r="CV37" s="47" t="e">
        <f t="shared" si="11"/>
        <v>#REF!</v>
      </c>
      <c r="CW37" s="47"/>
      <c r="CX37" s="47" t="e">
        <f t="shared" si="31"/>
        <v>#REF!</v>
      </c>
      <c r="CY37" s="47" t="e">
        <f>VLOOKUP($AA37,#REF!,6,0)*(+CV37+CW37)</f>
        <v>#REF!</v>
      </c>
      <c r="CZ37" s="47" t="e">
        <f>VLOOKUP($AB37,#REF!,6,0)*(+CV37+CW37)</f>
        <v>#REF!</v>
      </c>
      <c r="DC37" s="47"/>
      <c r="DE37" s="47" t="e">
        <f t="shared" si="12"/>
        <v>#REF!</v>
      </c>
      <c r="DJ37" s="47" t="e">
        <f t="shared" si="13"/>
        <v>#REF!</v>
      </c>
      <c r="DK37" s="66"/>
      <c r="DL37" s="47" t="e">
        <f t="shared" si="14"/>
        <v>#REF!</v>
      </c>
      <c r="DM37" s="47"/>
      <c r="DN37" s="47" t="e">
        <f t="shared" si="32"/>
        <v>#REF!</v>
      </c>
      <c r="DO37" s="47" t="e">
        <f>VLOOKUP($AA37,#REF!,7,0)*(+DL37+DM37)</f>
        <v>#REF!</v>
      </c>
      <c r="DP37" s="47" t="e">
        <f>VLOOKUP($AB37,#REF!,7,0)*(+DL37+DM37)</f>
        <v>#REF!</v>
      </c>
      <c r="DS37" s="47"/>
      <c r="DU37" s="47" t="e">
        <f t="shared" si="15"/>
        <v>#REF!</v>
      </c>
      <c r="DZ37" s="47" t="e">
        <f t="shared" si="16"/>
        <v>#REF!</v>
      </c>
      <c r="EA37" s="66"/>
    </row>
    <row r="38" spans="1:131" x14ac:dyDescent="0.2">
      <c r="A38" s="38" t="s">
        <v>374</v>
      </c>
      <c r="B38" s="39" t="s">
        <v>125</v>
      </c>
      <c r="C38" s="39" t="s">
        <v>126</v>
      </c>
      <c r="D38" s="49" t="s">
        <v>330</v>
      </c>
      <c r="E38" s="50">
        <v>1262907</v>
      </c>
      <c r="F38" s="41"/>
      <c r="G38" s="41"/>
      <c r="H38" s="41"/>
      <c r="I38" s="41"/>
      <c r="J38" s="41"/>
      <c r="K38" s="51"/>
      <c r="L38" s="41"/>
      <c r="M38" s="41"/>
      <c r="N38" s="41"/>
      <c r="O38" s="41"/>
      <c r="P38" s="41"/>
      <c r="Q38" s="41"/>
      <c r="R38" s="41"/>
      <c r="S38" s="41">
        <f>SUM(E38:P38)/1.025*-0.025</f>
        <v>-30802.609756097565</v>
      </c>
      <c r="T38" s="42">
        <f t="shared" ref="T38:T71" si="33">SUM(E38:S38)</f>
        <v>1232104.3902439023</v>
      </c>
      <c r="U38" s="43"/>
      <c r="V38" s="141">
        <v>1232104.3902439023</v>
      </c>
      <c r="W38" s="142" t="s">
        <v>367</v>
      </c>
      <c r="X38" s="142">
        <v>5</v>
      </c>
      <c r="Y38" s="171" t="s">
        <v>423</v>
      </c>
      <c r="Z38" s="171" t="s">
        <v>428</v>
      </c>
      <c r="AA38" s="44" t="s">
        <v>282</v>
      </c>
      <c r="AB38" s="187" t="s">
        <v>456</v>
      </c>
      <c r="AC38" s="10">
        <f t="shared" si="27"/>
        <v>30802.609756097561</v>
      </c>
      <c r="AD38" s="13">
        <v>29046.861000000001</v>
      </c>
      <c r="AE38" s="10"/>
      <c r="AF38" s="10"/>
      <c r="AG38" s="45"/>
      <c r="AH38" s="45"/>
      <c r="AI38" s="45">
        <f t="shared" si="1"/>
        <v>-49284.175609756094</v>
      </c>
      <c r="AJ38" s="41"/>
      <c r="AK38" s="45"/>
      <c r="AL38" s="45"/>
      <c r="AN38" s="128">
        <v>0</v>
      </c>
      <c r="AO38" s="45"/>
      <c r="AP38" s="46">
        <f t="shared" ref="AP38:AP104" si="34">SUM(AC38:AO38)+V38</f>
        <v>1242669.6853902438</v>
      </c>
      <c r="AQ38" s="47"/>
      <c r="AW38" s="48">
        <f t="shared" ref="AW38:AW104" si="35">SUM(AP38:AV38)</f>
        <v>1242669.6853902438</v>
      </c>
      <c r="AX38" s="66"/>
      <c r="AY38" s="47">
        <f t="shared" si="4"/>
        <v>1211867.0756341461</v>
      </c>
      <c r="AZ38" s="47"/>
      <c r="BA38" s="47">
        <f t="shared" si="28"/>
        <v>25752.175357225606</v>
      </c>
      <c r="BB38" s="47" t="e">
        <f>VLOOKUP($AA38,#REF!,3,0)*(+AY38+AZ38)</f>
        <v>#REF!</v>
      </c>
      <c r="BC38" s="47" t="e">
        <f>VLOOKUP($AB38,#REF!,3,0)*(+AY38+AZ38)</f>
        <v>#REF!</v>
      </c>
      <c r="BE38" s="47"/>
      <c r="BF38" s="47"/>
      <c r="BH38" s="47" t="e">
        <f t="shared" ref="BH38:BH104" si="36">SUM(AY38:BG38)</f>
        <v>#REF!</v>
      </c>
      <c r="BM38" s="47" t="e">
        <f t="shared" ref="BM38:BM104" si="37">SUM(BH38:BL38)</f>
        <v>#REF!</v>
      </c>
      <c r="BN38" s="66"/>
      <c r="BO38" s="47" t="e">
        <f t="shared" si="6"/>
        <v>#REF!</v>
      </c>
      <c r="BP38" s="47"/>
      <c r="BQ38" s="47" t="e">
        <f t="shared" si="29"/>
        <v>#REF!</v>
      </c>
      <c r="BR38" s="47" t="e">
        <f>VLOOKUP($AA38,#REF!,4,0)*(+BO38+BP38)</f>
        <v>#REF!</v>
      </c>
      <c r="BS38" s="47" t="e">
        <f>VLOOKUP($AB38,#REF!,4,0)*(+BO38+BP38)</f>
        <v>#REF!</v>
      </c>
      <c r="BV38" s="47"/>
      <c r="BY38" s="47" t="e">
        <f t="shared" si="18"/>
        <v>#REF!</v>
      </c>
      <c r="CD38" s="47" t="e">
        <f t="shared" ref="CD38:CD104" si="38">SUM(BY38:CC38)</f>
        <v>#REF!</v>
      </c>
      <c r="CE38" s="66"/>
      <c r="CF38" s="47" t="e">
        <f t="shared" si="8"/>
        <v>#REF!</v>
      </c>
      <c r="CG38" s="47"/>
      <c r="CH38" s="47" t="e">
        <f t="shared" si="30"/>
        <v>#REF!</v>
      </c>
      <c r="CI38" s="47" t="e">
        <f>VLOOKUP($AA38,#REF!,5,0)*(+CF38+CG38)</f>
        <v>#REF!</v>
      </c>
      <c r="CJ38" s="47" t="e">
        <f>VLOOKUP($AB38,#REF!,5,0)*(+CF38+CG38)</f>
        <v>#REF!</v>
      </c>
      <c r="CM38" s="47"/>
      <c r="CO38" s="47" t="e">
        <f t="shared" ref="CO38:CO104" si="39">SUM(CF38:CN38)</f>
        <v>#REF!</v>
      </c>
      <c r="CT38" s="47" t="e">
        <f t="shared" ref="CT38:CT104" si="40">SUM(CO38:CS38)</f>
        <v>#REF!</v>
      </c>
      <c r="CU38" s="66"/>
      <c r="CV38" s="47" t="e">
        <f t="shared" si="11"/>
        <v>#REF!</v>
      </c>
      <c r="CW38" s="47"/>
      <c r="CX38" s="47" t="e">
        <f t="shared" si="31"/>
        <v>#REF!</v>
      </c>
      <c r="CY38" s="47" t="e">
        <f>VLOOKUP($AA38,#REF!,6,0)*(+CV38+CW38)</f>
        <v>#REF!</v>
      </c>
      <c r="CZ38" s="47" t="e">
        <f>VLOOKUP($AB38,#REF!,6,0)*(+CV38+CW38)</f>
        <v>#REF!</v>
      </c>
      <c r="DC38" s="47"/>
      <c r="DE38" s="47" t="e">
        <f t="shared" ref="DE38:DE104" si="41">SUM(CV38:DD38)</f>
        <v>#REF!</v>
      </c>
      <c r="DJ38" s="47" t="e">
        <f t="shared" ref="DJ38:DJ104" si="42">SUM(DE38:DI38)</f>
        <v>#REF!</v>
      </c>
      <c r="DK38" s="66"/>
      <c r="DL38" s="47" t="e">
        <f t="shared" si="14"/>
        <v>#REF!</v>
      </c>
      <c r="DM38" s="47"/>
      <c r="DN38" s="47" t="e">
        <f t="shared" si="32"/>
        <v>#REF!</v>
      </c>
      <c r="DO38" s="47" t="e">
        <f>VLOOKUP($AA38,#REF!,7,0)*(+DL38+DM38)</f>
        <v>#REF!</v>
      </c>
      <c r="DP38" s="47" t="e">
        <f>VLOOKUP($AB38,#REF!,7,0)*(+DL38+DM38)</f>
        <v>#REF!</v>
      </c>
      <c r="DS38" s="47"/>
      <c r="DU38" s="47" t="e">
        <f t="shared" ref="DU38:DU55" si="43">SUM(DL38:DT38)</f>
        <v>#REF!</v>
      </c>
      <c r="DZ38" s="47" t="e">
        <f t="shared" ref="DZ38:DZ55" si="44">SUM(DU38:DY38)</f>
        <v>#REF!</v>
      </c>
      <c r="EA38" s="66"/>
    </row>
    <row r="39" spans="1:131" x14ac:dyDescent="0.2">
      <c r="A39" s="38" t="s">
        <v>374</v>
      </c>
      <c r="B39" s="39" t="s">
        <v>127</v>
      </c>
      <c r="C39" s="39" t="s">
        <v>128</v>
      </c>
      <c r="D39" s="49" t="s">
        <v>328</v>
      </c>
      <c r="E39" s="40">
        <v>81578</v>
      </c>
      <c r="F39" s="41"/>
      <c r="G39" s="41"/>
      <c r="H39" s="41"/>
      <c r="I39" s="41"/>
      <c r="J39" s="41"/>
      <c r="K39" s="51"/>
      <c r="L39" s="41"/>
      <c r="M39" s="41"/>
      <c r="N39" s="41"/>
      <c r="O39" s="41"/>
      <c r="P39" s="41"/>
      <c r="Q39" s="41"/>
      <c r="R39" s="41"/>
      <c r="S39" s="41">
        <f>SUM(E39:P39)/1.025*-0.025</f>
        <v>-1989.707317073171</v>
      </c>
      <c r="T39" s="42">
        <f t="shared" si="33"/>
        <v>79588.292682926825</v>
      </c>
      <c r="U39" s="43"/>
      <c r="V39" s="141">
        <v>79588.292682926825</v>
      </c>
      <c r="W39" s="142" t="s">
        <v>367</v>
      </c>
      <c r="X39" s="142">
        <v>5</v>
      </c>
      <c r="Y39" s="171" t="s">
        <v>423</v>
      </c>
      <c r="Z39" s="171" t="s">
        <v>428</v>
      </c>
      <c r="AA39" s="44" t="s">
        <v>282</v>
      </c>
      <c r="AB39" s="187" t="s">
        <v>456</v>
      </c>
      <c r="AC39" s="10">
        <f t="shared" si="27"/>
        <v>1989.7073170731708</v>
      </c>
      <c r="AD39" s="13">
        <v>1876.2939999999999</v>
      </c>
      <c r="AE39" s="10"/>
      <c r="AF39" s="10"/>
      <c r="AG39" s="45"/>
      <c r="AH39" s="45"/>
      <c r="AI39" s="45">
        <f t="shared" si="1"/>
        <v>-3183.5317073170731</v>
      </c>
      <c r="AJ39" s="41"/>
      <c r="AK39" s="45"/>
      <c r="AL39" s="45"/>
      <c r="AN39" s="128">
        <v>-80271</v>
      </c>
      <c r="AO39" s="45"/>
      <c r="AP39" s="46">
        <f t="shared" si="34"/>
        <v>-0.23770731707918458</v>
      </c>
      <c r="AQ39" s="47"/>
      <c r="AW39" s="48">
        <f t="shared" si="35"/>
        <v>-0.23770731707918458</v>
      </c>
      <c r="AX39" s="66"/>
      <c r="AY39" s="47">
        <f t="shared" si="4"/>
        <v>-1989.94502439025</v>
      </c>
      <c r="AZ39" s="47">
        <v>1990</v>
      </c>
      <c r="BA39" s="47">
        <f t="shared" si="28"/>
        <v>1.1682317071884541E-3</v>
      </c>
      <c r="BB39" s="47" t="e">
        <f>VLOOKUP($AA39,#REF!,3,0)*(+AY39+AZ39)</f>
        <v>#REF!</v>
      </c>
      <c r="BC39" s="47" t="e">
        <f>VLOOKUP($AB39,#REF!,3,0)*(+AY39+AZ39)</f>
        <v>#REF!</v>
      </c>
      <c r="BE39" s="47"/>
      <c r="BF39" s="47"/>
      <c r="BH39" s="47" t="e">
        <f t="shared" si="36"/>
        <v>#REF!</v>
      </c>
      <c r="BM39" s="47" t="e">
        <f t="shared" si="37"/>
        <v>#REF!</v>
      </c>
      <c r="BN39" s="66"/>
      <c r="BO39" s="47" t="e">
        <f t="shared" si="6"/>
        <v>#REF!</v>
      </c>
      <c r="BP39" s="47"/>
      <c r="BQ39" s="47" t="e">
        <f t="shared" si="29"/>
        <v>#REF!</v>
      </c>
      <c r="BR39" s="47" t="e">
        <f>VLOOKUP($AA39,#REF!,4,0)*(+BO39+BP39)</f>
        <v>#REF!</v>
      </c>
      <c r="BS39" s="47" t="e">
        <f>VLOOKUP($AB39,#REF!,4,0)*(+BO39+BP39)</f>
        <v>#REF!</v>
      </c>
      <c r="BV39" s="47"/>
      <c r="BY39" s="47" t="e">
        <f t="shared" si="18"/>
        <v>#REF!</v>
      </c>
      <c r="CD39" s="47" t="e">
        <f t="shared" si="38"/>
        <v>#REF!</v>
      </c>
      <c r="CE39" s="66"/>
      <c r="CF39" s="47" t="e">
        <f t="shared" si="8"/>
        <v>#REF!</v>
      </c>
      <c r="CG39" s="47"/>
      <c r="CH39" s="47" t="e">
        <f t="shared" si="30"/>
        <v>#REF!</v>
      </c>
      <c r="CI39" s="47" t="e">
        <f>VLOOKUP($AA39,#REF!,5,0)*(+CF39+CG39)</f>
        <v>#REF!</v>
      </c>
      <c r="CJ39" s="47" t="e">
        <f>VLOOKUP($AB39,#REF!,5,0)*(+CF39+CG39)</f>
        <v>#REF!</v>
      </c>
      <c r="CM39" s="47"/>
      <c r="CO39" s="47" t="e">
        <f t="shared" si="39"/>
        <v>#REF!</v>
      </c>
      <c r="CT39" s="47" t="e">
        <f t="shared" si="40"/>
        <v>#REF!</v>
      </c>
      <c r="CU39" s="66"/>
      <c r="CV39" s="47" t="e">
        <f t="shared" si="11"/>
        <v>#REF!</v>
      </c>
      <c r="CW39" s="47"/>
      <c r="CX39" s="47" t="e">
        <f t="shared" si="31"/>
        <v>#REF!</v>
      </c>
      <c r="CY39" s="47" t="e">
        <f>VLOOKUP($AA39,#REF!,6,0)*(+CV39+CW39)</f>
        <v>#REF!</v>
      </c>
      <c r="CZ39" s="47" t="e">
        <f>VLOOKUP($AB39,#REF!,6,0)*(+CV39+CW39)</f>
        <v>#REF!</v>
      </c>
      <c r="DC39" s="47"/>
      <c r="DE39" s="47" t="e">
        <f t="shared" si="41"/>
        <v>#REF!</v>
      </c>
      <c r="DJ39" s="47" t="e">
        <f t="shared" si="42"/>
        <v>#REF!</v>
      </c>
      <c r="DK39" s="66"/>
      <c r="DL39" s="47" t="e">
        <f t="shared" si="14"/>
        <v>#REF!</v>
      </c>
      <c r="DM39" s="47"/>
      <c r="DN39" s="47" t="e">
        <f t="shared" si="32"/>
        <v>#REF!</v>
      </c>
      <c r="DO39" s="47" t="e">
        <f>VLOOKUP($AA39,#REF!,7,0)*(+DL39+DM39)</f>
        <v>#REF!</v>
      </c>
      <c r="DP39" s="47" t="e">
        <f>VLOOKUP($AB39,#REF!,7,0)*(+DL39+DM39)</f>
        <v>#REF!</v>
      </c>
      <c r="DS39" s="47"/>
      <c r="DU39" s="47" t="e">
        <f t="shared" si="43"/>
        <v>#REF!</v>
      </c>
      <c r="DZ39" s="47" t="e">
        <f t="shared" si="44"/>
        <v>#REF!</v>
      </c>
      <c r="EA39" s="66"/>
    </row>
    <row r="40" spans="1:131" x14ac:dyDescent="0.2">
      <c r="A40" s="38" t="s">
        <v>374</v>
      </c>
      <c r="B40" s="39" t="s">
        <v>129</v>
      </c>
      <c r="C40" s="39" t="s">
        <v>130</v>
      </c>
      <c r="D40" s="39"/>
      <c r="E40" s="40">
        <v>650000</v>
      </c>
      <c r="F40" s="41"/>
      <c r="G40" s="41"/>
      <c r="H40" s="41"/>
      <c r="I40" s="41"/>
      <c r="J40" s="41"/>
      <c r="K40" s="51"/>
      <c r="L40" s="41"/>
      <c r="M40" s="41"/>
      <c r="N40" s="41"/>
      <c r="O40" s="41"/>
      <c r="P40" s="41"/>
      <c r="Q40" s="41"/>
      <c r="R40" s="41"/>
      <c r="S40" s="41"/>
      <c r="T40" s="42">
        <f t="shared" si="33"/>
        <v>650000</v>
      </c>
      <c r="U40" s="43"/>
      <c r="V40" s="141">
        <v>650000</v>
      </c>
      <c r="W40" s="142" t="s">
        <v>367</v>
      </c>
      <c r="X40" s="142">
        <v>5</v>
      </c>
      <c r="Y40" s="171" t="s">
        <v>423</v>
      </c>
      <c r="Z40" s="171" t="s">
        <v>428</v>
      </c>
      <c r="AA40" s="44" t="s">
        <v>282</v>
      </c>
      <c r="AB40" s="187" t="s">
        <v>456</v>
      </c>
      <c r="AC40" s="10"/>
      <c r="AD40" s="13">
        <v>14950</v>
      </c>
      <c r="AE40" s="10"/>
      <c r="AF40" s="10"/>
      <c r="AG40" s="45"/>
      <c r="AH40" s="45"/>
      <c r="AI40" s="45">
        <f t="shared" si="1"/>
        <v>-26000</v>
      </c>
      <c r="AJ40" s="41"/>
      <c r="AK40" s="45"/>
      <c r="AL40" s="45"/>
      <c r="AN40" s="128">
        <v>-638950</v>
      </c>
      <c r="AO40" s="45"/>
      <c r="AP40" s="46">
        <f t="shared" si="34"/>
        <v>0</v>
      </c>
      <c r="AQ40" s="47"/>
      <c r="AW40" s="48">
        <f t="shared" si="35"/>
        <v>0</v>
      </c>
      <c r="AX40" s="66"/>
      <c r="AY40" s="47">
        <f t="shared" si="4"/>
        <v>0</v>
      </c>
      <c r="AZ40" s="47"/>
      <c r="BB40" s="47" t="e">
        <f>VLOOKUP($AA40,#REF!,3,0)*(+AY40+AZ40)</f>
        <v>#REF!</v>
      </c>
      <c r="BC40" s="47" t="e">
        <f>VLOOKUP($AB40,#REF!,3,0)*(+AY40+AZ40)</f>
        <v>#REF!</v>
      </c>
      <c r="BE40" s="47"/>
      <c r="BF40" s="47"/>
      <c r="BH40" s="47" t="e">
        <f t="shared" si="36"/>
        <v>#REF!</v>
      </c>
      <c r="BM40" s="47" t="e">
        <f t="shared" si="37"/>
        <v>#REF!</v>
      </c>
      <c r="BN40" s="66"/>
      <c r="BO40" s="47" t="e">
        <f t="shared" si="6"/>
        <v>#REF!</v>
      </c>
      <c r="BP40" s="47"/>
      <c r="BR40" s="47" t="e">
        <f>VLOOKUP($AA40,#REF!,4,0)*(+BO40+BP40)</f>
        <v>#REF!</v>
      </c>
      <c r="BS40" s="47" t="e">
        <f>VLOOKUP($AB40,#REF!,4,0)*(+BO40+BP40)</f>
        <v>#REF!</v>
      </c>
      <c r="BV40" s="47"/>
      <c r="BY40" s="47" t="e">
        <f t="shared" si="18"/>
        <v>#REF!</v>
      </c>
      <c r="CD40" s="47" t="e">
        <f t="shared" si="38"/>
        <v>#REF!</v>
      </c>
      <c r="CE40" s="66"/>
      <c r="CF40" s="47" t="e">
        <f t="shared" si="8"/>
        <v>#REF!</v>
      </c>
      <c r="CG40" s="47"/>
      <c r="CI40" s="47" t="e">
        <f>VLOOKUP($AA40,#REF!,5,0)*(+CF40+CG40)</f>
        <v>#REF!</v>
      </c>
      <c r="CJ40" s="47" t="e">
        <f>VLOOKUP($AB40,#REF!,5,0)*(+CF40+CG40)</f>
        <v>#REF!</v>
      </c>
      <c r="CM40" s="47"/>
      <c r="CO40" s="47" t="e">
        <f t="shared" si="39"/>
        <v>#REF!</v>
      </c>
      <c r="CT40" s="47" t="e">
        <f t="shared" si="40"/>
        <v>#REF!</v>
      </c>
      <c r="CU40" s="66"/>
      <c r="CV40" s="47" t="e">
        <f t="shared" si="11"/>
        <v>#REF!</v>
      </c>
      <c r="CW40" s="47"/>
      <c r="CY40" s="47" t="e">
        <f>VLOOKUP($AA40,#REF!,6,0)*(+CV40+CW40)</f>
        <v>#REF!</v>
      </c>
      <c r="CZ40" s="47" t="e">
        <f>VLOOKUP($AB40,#REF!,6,0)*(+CV40+CW40)</f>
        <v>#REF!</v>
      </c>
      <c r="DC40" s="47"/>
      <c r="DE40" s="47" t="e">
        <f t="shared" si="41"/>
        <v>#REF!</v>
      </c>
      <c r="DJ40" s="47" t="e">
        <f t="shared" si="42"/>
        <v>#REF!</v>
      </c>
      <c r="DK40" s="66"/>
      <c r="DL40" s="47" t="e">
        <f t="shared" si="14"/>
        <v>#REF!</v>
      </c>
      <c r="DM40" s="47"/>
      <c r="DO40" s="47" t="e">
        <f>VLOOKUP($AA40,#REF!,7,0)*(+DL40+DM40)</f>
        <v>#REF!</v>
      </c>
      <c r="DP40" s="47" t="e">
        <f>VLOOKUP($AB40,#REF!,7,0)*(+DL40+DM40)</f>
        <v>#REF!</v>
      </c>
      <c r="DS40" s="47"/>
      <c r="DU40" s="47" t="e">
        <f t="shared" si="43"/>
        <v>#REF!</v>
      </c>
      <c r="DZ40" s="47" t="e">
        <f t="shared" si="44"/>
        <v>#REF!</v>
      </c>
      <c r="EA40" s="66"/>
    </row>
    <row r="41" spans="1:131" x14ac:dyDescent="0.2">
      <c r="A41" s="38" t="s">
        <v>374</v>
      </c>
      <c r="B41" s="39" t="s">
        <v>131</v>
      </c>
      <c r="C41" s="39" t="s">
        <v>132</v>
      </c>
      <c r="D41" s="39"/>
      <c r="E41" s="40">
        <v>812724</v>
      </c>
      <c r="F41" s="41"/>
      <c r="G41" s="41"/>
      <c r="H41" s="41"/>
      <c r="I41" s="41"/>
      <c r="J41" s="41"/>
      <c r="K41" s="51"/>
      <c r="L41" s="41"/>
      <c r="M41" s="41"/>
      <c r="N41" s="41"/>
      <c r="O41" s="41"/>
      <c r="P41" s="41"/>
      <c r="Q41" s="41"/>
      <c r="R41" s="41"/>
      <c r="S41" s="41"/>
      <c r="T41" s="42">
        <f t="shared" si="33"/>
        <v>812724</v>
      </c>
      <c r="U41" s="43"/>
      <c r="V41" s="141">
        <v>812724</v>
      </c>
      <c r="W41" s="142" t="s">
        <v>367</v>
      </c>
      <c r="X41" s="142">
        <v>5</v>
      </c>
      <c r="Y41" s="171" t="s">
        <v>423</v>
      </c>
      <c r="Z41" s="171" t="s">
        <v>428</v>
      </c>
      <c r="AA41" s="44" t="s">
        <v>282</v>
      </c>
      <c r="AB41" s="187" t="s">
        <v>456</v>
      </c>
      <c r="AC41" s="10"/>
      <c r="AD41" s="13">
        <v>24381.719999999998</v>
      </c>
      <c r="AE41" s="10"/>
      <c r="AF41" s="10"/>
      <c r="AG41" s="45"/>
      <c r="AH41" s="45"/>
      <c r="AI41" s="45">
        <f t="shared" si="1"/>
        <v>-32508.959999999999</v>
      </c>
      <c r="AJ41" s="41"/>
      <c r="AK41" s="45"/>
      <c r="AL41" s="45"/>
      <c r="AN41" s="128">
        <v>0</v>
      </c>
      <c r="AO41" s="45"/>
      <c r="AP41" s="46">
        <f t="shared" si="34"/>
        <v>804596.76</v>
      </c>
      <c r="AQ41" s="47"/>
      <c r="AW41" s="48">
        <f t="shared" si="35"/>
        <v>804596.76</v>
      </c>
      <c r="AX41" s="66"/>
      <c r="AY41" s="47">
        <f t="shared" si="4"/>
        <v>804596.76</v>
      </c>
      <c r="AZ41" s="47"/>
      <c r="BB41" s="47" t="e">
        <f>VLOOKUP($AA41,#REF!,3,0)*(+AY41+AZ41)</f>
        <v>#REF!</v>
      </c>
      <c r="BC41" s="47" t="e">
        <f>VLOOKUP($AB41,#REF!,3,0)*(+AY41+AZ41)</f>
        <v>#REF!</v>
      </c>
      <c r="BE41" s="47"/>
      <c r="BF41" s="47"/>
      <c r="BH41" s="47" t="e">
        <f t="shared" si="36"/>
        <v>#REF!</v>
      </c>
      <c r="BM41" s="47" t="e">
        <f t="shared" si="37"/>
        <v>#REF!</v>
      </c>
      <c r="BN41" s="66"/>
      <c r="BO41" s="47" t="e">
        <f t="shared" si="6"/>
        <v>#REF!</v>
      </c>
      <c r="BP41" s="47"/>
      <c r="BR41" s="47" t="e">
        <f>VLOOKUP($AA41,#REF!,4,0)*(+BO41+BP41)</f>
        <v>#REF!</v>
      </c>
      <c r="BS41" s="47" t="e">
        <f>VLOOKUP($AB41,#REF!,4,0)*(+BO41+BP41)</f>
        <v>#REF!</v>
      </c>
      <c r="BV41" s="47"/>
      <c r="BY41" s="47" t="e">
        <f t="shared" si="18"/>
        <v>#REF!</v>
      </c>
      <c r="CD41" s="47" t="e">
        <f t="shared" si="38"/>
        <v>#REF!</v>
      </c>
      <c r="CE41" s="66"/>
      <c r="CF41" s="47" t="e">
        <f t="shared" si="8"/>
        <v>#REF!</v>
      </c>
      <c r="CG41" s="47"/>
      <c r="CI41" s="47" t="e">
        <f>VLOOKUP($AA41,#REF!,5,0)*(+CF41+CG41)</f>
        <v>#REF!</v>
      </c>
      <c r="CJ41" s="47" t="e">
        <f>VLOOKUP($AB41,#REF!,5,0)*(+CF41+CG41)</f>
        <v>#REF!</v>
      </c>
      <c r="CM41" s="47"/>
      <c r="CO41" s="47" t="e">
        <f t="shared" si="39"/>
        <v>#REF!</v>
      </c>
      <c r="CT41" s="47" t="e">
        <f t="shared" si="40"/>
        <v>#REF!</v>
      </c>
      <c r="CU41" s="66"/>
      <c r="CV41" s="47" t="e">
        <f t="shared" si="11"/>
        <v>#REF!</v>
      </c>
      <c r="CW41" s="47"/>
      <c r="CY41" s="47" t="e">
        <f>VLOOKUP($AA41,#REF!,6,0)*(+CV41+CW41)</f>
        <v>#REF!</v>
      </c>
      <c r="CZ41" s="47" t="e">
        <f>VLOOKUP($AB41,#REF!,6,0)*(+CV41+CW41)</f>
        <v>#REF!</v>
      </c>
      <c r="DC41" s="47"/>
      <c r="DE41" s="47" t="e">
        <f t="shared" si="41"/>
        <v>#REF!</v>
      </c>
      <c r="DJ41" s="47" t="e">
        <f t="shared" si="42"/>
        <v>#REF!</v>
      </c>
      <c r="DK41" s="66"/>
      <c r="DL41" s="47" t="e">
        <f t="shared" si="14"/>
        <v>#REF!</v>
      </c>
      <c r="DM41" s="47"/>
      <c r="DO41" s="47" t="e">
        <f>VLOOKUP($AA41,#REF!,7,0)*(+DL41+DM41)</f>
        <v>#REF!</v>
      </c>
      <c r="DP41" s="47" t="e">
        <f>VLOOKUP($AB41,#REF!,7,0)*(+DL41+DM41)</f>
        <v>#REF!</v>
      </c>
      <c r="DS41" s="47"/>
      <c r="DU41" s="47" t="e">
        <f t="shared" si="43"/>
        <v>#REF!</v>
      </c>
      <c r="DZ41" s="47" t="e">
        <f t="shared" si="44"/>
        <v>#REF!</v>
      </c>
      <c r="EA41" s="66"/>
    </row>
    <row r="42" spans="1:131" x14ac:dyDescent="0.2">
      <c r="A42" s="38" t="s">
        <v>374</v>
      </c>
      <c r="B42" s="39" t="s">
        <v>133</v>
      </c>
      <c r="C42" s="39" t="s">
        <v>134</v>
      </c>
      <c r="D42" s="49" t="s">
        <v>330</v>
      </c>
      <c r="E42" s="50">
        <v>371224</v>
      </c>
      <c r="F42" s="41"/>
      <c r="G42" s="41"/>
      <c r="H42" s="41"/>
      <c r="I42" s="41"/>
      <c r="J42" s="41"/>
      <c r="K42" s="51"/>
      <c r="L42" s="41"/>
      <c r="M42" s="41"/>
      <c r="N42" s="41"/>
      <c r="O42" s="41"/>
      <c r="P42" s="41"/>
      <c r="Q42" s="41"/>
      <c r="R42" s="41"/>
      <c r="S42" s="41">
        <f>SUM(E42:P42)/1.025*-0.025</f>
        <v>-9054.2439024390242</v>
      </c>
      <c r="T42" s="42">
        <f t="shared" si="33"/>
        <v>362169.75609756098</v>
      </c>
      <c r="U42" s="43"/>
      <c r="V42" s="141">
        <v>362169.75609756098</v>
      </c>
      <c r="W42" s="142" t="s">
        <v>367</v>
      </c>
      <c r="X42" s="142">
        <v>5</v>
      </c>
      <c r="Y42" s="171" t="s">
        <v>423</v>
      </c>
      <c r="Z42" s="171" t="s">
        <v>428</v>
      </c>
      <c r="AA42" s="44" t="s">
        <v>282</v>
      </c>
      <c r="AB42" s="187" t="s">
        <v>456</v>
      </c>
      <c r="AC42" s="10">
        <f>+T42*0.025</f>
        <v>9054.2439024390242</v>
      </c>
      <c r="AD42" s="13">
        <v>8538.152</v>
      </c>
      <c r="AE42" s="10"/>
      <c r="AF42" s="10"/>
      <c r="AG42" s="45"/>
      <c r="AH42" s="45"/>
      <c r="AI42" s="45">
        <f t="shared" si="1"/>
        <v>-14486.79024390244</v>
      </c>
      <c r="AJ42" s="41"/>
      <c r="AK42" s="45"/>
      <c r="AL42" s="45"/>
      <c r="AN42" s="128">
        <v>0</v>
      </c>
      <c r="AO42" s="45"/>
      <c r="AP42" s="46">
        <f t="shared" si="34"/>
        <v>365275.36175609758</v>
      </c>
      <c r="AQ42" s="47"/>
      <c r="AW42" s="48">
        <f t="shared" si="35"/>
        <v>365275.36175609758</v>
      </c>
      <c r="AX42" s="66"/>
      <c r="AY42" s="47">
        <f t="shared" si="4"/>
        <v>356221.11785365856</v>
      </c>
      <c r="AZ42" s="47"/>
      <c r="BA42" s="47">
        <f t="shared" ref="BA42:BA46" si="45">+((AY42+AZ42)*0.025)*0.85</f>
        <v>7569.6987543902442</v>
      </c>
      <c r="BB42" s="47" t="e">
        <f>VLOOKUP($AA42,#REF!,3,0)*(+AY42+AZ42)</f>
        <v>#REF!</v>
      </c>
      <c r="BC42" s="47" t="e">
        <f>VLOOKUP($AB42,#REF!,3,0)*(+AY42+AZ42)</f>
        <v>#REF!</v>
      </c>
      <c r="BE42" s="47"/>
      <c r="BF42" s="47"/>
      <c r="BH42" s="47" t="e">
        <f t="shared" si="36"/>
        <v>#REF!</v>
      </c>
      <c r="BM42" s="47" t="e">
        <f t="shared" si="37"/>
        <v>#REF!</v>
      </c>
      <c r="BN42" s="66"/>
      <c r="BO42" s="47" t="e">
        <f t="shared" si="6"/>
        <v>#REF!</v>
      </c>
      <c r="BP42" s="47"/>
      <c r="BQ42" s="47" t="e">
        <f t="shared" ref="BQ42:BQ46" si="46">+((BO42+BP42)*0.025)*0.85</f>
        <v>#REF!</v>
      </c>
      <c r="BR42" s="47" t="e">
        <f>VLOOKUP($AA42,#REF!,4,0)*(+BO42+BP42)</f>
        <v>#REF!</v>
      </c>
      <c r="BS42" s="47" t="e">
        <f>VLOOKUP($AB42,#REF!,4,0)*(+BO42+BP42)</f>
        <v>#REF!</v>
      </c>
      <c r="BV42" s="47"/>
      <c r="BY42" s="47" t="e">
        <f t="shared" si="18"/>
        <v>#REF!</v>
      </c>
      <c r="CD42" s="47" t="e">
        <f t="shared" si="38"/>
        <v>#REF!</v>
      </c>
      <c r="CE42" s="66"/>
      <c r="CF42" s="47" t="e">
        <f t="shared" si="8"/>
        <v>#REF!</v>
      </c>
      <c r="CG42" s="47"/>
      <c r="CH42" s="47" t="e">
        <f t="shared" ref="CH42:CH46" si="47">+((CF42+CG42)*0.025)*0.85</f>
        <v>#REF!</v>
      </c>
      <c r="CI42" s="47" t="e">
        <f>VLOOKUP($AA42,#REF!,5,0)*(+CF42+CG42)</f>
        <v>#REF!</v>
      </c>
      <c r="CJ42" s="47" t="e">
        <f>VLOOKUP($AB42,#REF!,5,0)*(+CF42+CG42)</f>
        <v>#REF!</v>
      </c>
      <c r="CM42" s="47"/>
      <c r="CO42" s="47" t="e">
        <f t="shared" si="39"/>
        <v>#REF!</v>
      </c>
      <c r="CT42" s="47" t="e">
        <f t="shared" si="40"/>
        <v>#REF!</v>
      </c>
      <c r="CU42" s="66"/>
      <c r="CV42" s="47" t="e">
        <f t="shared" si="11"/>
        <v>#REF!</v>
      </c>
      <c r="CW42" s="47"/>
      <c r="CX42" s="47" t="e">
        <f t="shared" ref="CX42:CX46" si="48">+((CV42+CW42)*0.025)*0.85</f>
        <v>#REF!</v>
      </c>
      <c r="CY42" s="47" t="e">
        <f>VLOOKUP($AA42,#REF!,6,0)*(+CV42+CW42)</f>
        <v>#REF!</v>
      </c>
      <c r="CZ42" s="47" t="e">
        <f>VLOOKUP($AB42,#REF!,6,0)*(+CV42+CW42)</f>
        <v>#REF!</v>
      </c>
      <c r="DC42" s="47"/>
      <c r="DE42" s="47" t="e">
        <f t="shared" si="41"/>
        <v>#REF!</v>
      </c>
      <c r="DJ42" s="47" t="e">
        <f t="shared" si="42"/>
        <v>#REF!</v>
      </c>
      <c r="DK42" s="66"/>
      <c r="DL42" s="47" t="e">
        <f t="shared" si="14"/>
        <v>#REF!</v>
      </c>
      <c r="DM42" s="47"/>
      <c r="DN42" s="47" t="e">
        <f t="shared" ref="DN42:DN46" si="49">+((DL42+DM42)*0.025)*0.85</f>
        <v>#REF!</v>
      </c>
      <c r="DO42" s="47" t="e">
        <f>VLOOKUP($AA42,#REF!,7,0)*(+DL42+DM42)</f>
        <v>#REF!</v>
      </c>
      <c r="DP42" s="47" t="e">
        <f>VLOOKUP($AB42,#REF!,7,0)*(+DL42+DM42)</f>
        <v>#REF!</v>
      </c>
      <c r="DS42" s="47"/>
      <c r="DU42" s="47" t="e">
        <f t="shared" si="43"/>
        <v>#REF!</v>
      </c>
      <c r="DZ42" s="47" t="e">
        <f t="shared" si="44"/>
        <v>#REF!</v>
      </c>
      <c r="EA42" s="66"/>
    </row>
    <row r="43" spans="1:131" x14ac:dyDescent="0.2">
      <c r="A43" s="38" t="s">
        <v>374</v>
      </c>
      <c r="B43" s="39" t="s">
        <v>135</v>
      </c>
      <c r="C43" s="39" t="s">
        <v>136</v>
      </c>
      <c r="D43" s="39"/>
      <c r="E43" s="40">
        <v>197018</v>
      </c>
      <c r="F43" s="41"/>
      <c r="G43" s="41"/>
      <c r="H43" s="41"/>
      <c r="I43" s="41"/>
      <c r="J43" s="41"/>
      <c r="K43" s="51"/>
      <c r="L43" s="41"/>
      <c r="M43" s="41"/>
      <c r="N43" s="41"/>
      <c r="O43" s="41"/>
      <c r="P43" s="41"/>
      <c r="Q43" s="41"/>
      <c r="R43" s="41"/>
      <c r="S43" s="41">
        <f>SUM(E43:P43)/1.025*-0.025</f>
        <v>-4805.3170731707323</v>
      </c>
      <c r="T43" s="42">
        <f t="shared" si="33"/>
        <v>192212.68292682926</v>
      </c>
      <c r="U43" s="43"/>
      <c r="V43" s="141">
        <v>192212.68292682926</v>
      </c>
      <c r="W43" s="142" t="s">
        <v>367</v>
      </c>
      <c r="X43" s="142">
        <v>5</v>
      </c>
      <c r="Y43" s="171" t="s">
        <v>423</v>
      </c>
      <c r="Z43" s="171" t="s">
        <v>428</v>
      </c>
      <c r="AA43" s="44" t="s">
        <v>282</v>
      </c>
      <c r="AB43" s="187" t="s">
        <v>456</v>
      </c>
      <c r="AC43" s="10">
        <f>+T43*0.025</f>
        <v>4805.3170731707314</v>
      </c>
      <c r="AD43" s="13">
        <v>4531.4139999999998</v>
      </c>
      <c r="AE43" s="10"/>
      <c r="AF43" s="10"/>
      <c r="AG43" s="45"/>
      <c r="AH43" s="45"/>
      <c r="AI43" s="45">
        <f t="shared" si="1"/>
        <v>-7688.5073170731703</v>
      </c>
      <c r="AJ43" s="41"/>
      <c r="AK43" s="45"/>
      <c r="AL43" s="45"/>
      <c r="AN43" s="128">
        <v>0</v>
      </c>
      <c r="AO43" s="45"/>
      <c r="AP43" s="46">
        <f t="shared" si="34"/>
        <v>193860.90668292681</v>
      </c>
      <c r="AQ43" s="47"/>
      <c r="AW43" s="48">
        <f t="shared" si="35"/>
        <v>193860.90668292681</v>
      </c>
      <c r="AX43" s="66"/>
      <c r="AY43" s="47">
        <f t="shared" si="4"/>
        <v>189055.58960975608</v>
      </c>
      <c r="AZ43" s="47"/>
      <c r="BA43" s="47">
        <f t="shared" si="45"/>
        <v>4017.4312792073169</v>
      </c>
      <c r="BB43" s="47" t="e">
        <f>VLOOKUP($AA43,#REF!,3,0)*(+AY43+AZ43)</f>
        <v>#REF!</v>
      </c>
      <c r="BC43" s="47" t="e">
        <f>VLOOKUP($AB43,#REF!,3,0)*(+AY43+AZ43)</f>
        <v>#REF!</v>
      </c>
      <c r="BE43" s="47"/>
      <c r="BF43" s="47"/>
      <c r="BH43" s="47" t="e">
        <f t="shared" si="36"/>
        <v>#REF!</v>
      </c>
      <c r="BM43" s="47" t="e">
        <f t="shared" si="37"/>
        <v>#REF!</v>
      </c>
      <c r="BN43" s="66"/>
      <c r="BO43" s="47" t="e">
        <f t="shared" si="6"/>
        <v>#REF!</v>
      </c>
      <c r="BP43" s="47"/>
      <c r="BQ43" s="47" t="e">
        <f t="shared" si="46"/>
        <v>#REF!</v>
      </c>
      <c r="BR43" s="47" t="e">
        <f>VLOOKUP($AA43,#REF!,4,0)*(+BO43+BP43)</f>
        <v>#REF!</v>
      </c>
      <c r="BS43" s="47" t="e">
        <f>VLOOKUP($AB43,#REF!,4,0)*(+BO43+BP43)</f>
        <v>#REF!</v>
      </c>
      <c r="BV43" s="47"/>
      <c r="BY43" s="47" t="e">
        <f t="shared" si="18"/>
        <v>#REF!</v>
      </c>
      <c r="CD43" s="47" t="e">
        <f t="shared" si="38"/>
        <v>#REF!</v>
      </c>
      <c r="CE43" s="66"/>
      <c r="CF43" s="47" t="e">
        <f t="shared" si="8"/>
        <v>#REF!</v>
      </c>
      <c r="CG43" s="47"/>
      <c r="CH43" s="47" t="e">
        <f t="shared" si="47"/>
        <v>#REF!</v>
      </c>
      <c r="CI43" s="47" t="e">
        <f>VLOOKUP($AA43,#REF!,5,0)*(+CF43+CG43)</f>
        <v>#REF!</v>
      </c>
      <c r="CJ43" s="47" t="e">
        <f>VLOOKUP($AB43,#REF!,5,0)*(+CF43+CG43)</f>
        <v>#REF!</v>
      </c>
      <c r="CM43" s="47"/>
      <c r="CO43" s="47" t="e">
        <f t="shared" si="39"/>
        <v>#REF!</v>
      </c>
      <c r="CT43" s="47" t="e">
        <f t="shared" si="40"/>
        <v>#REF!</v>
      </c>
      <c r="CU43" s="66"/>
      <c r="CV43" s="47" t="e">
        <f t="shared" si="11"/>
        <v>#REF!</v>
      </c>
      <c r="CW43" s="47"/>
      <c r="CX43" s="47" t="e">
        <f t="shared" si="48"/>
        <v>#REF!</v>
      </c>
      <c r="CY43" s="47" t="e">
        <f>VLOOKUP($AA43,#REF!,6,0)*(+CV43+CW43)</f>
        <v>#REF!</v>
      </c>
      <c r="CZ43" s="47" t="e">
        <f>VLOOKUP($AB43,#REF!,6,0)*(+CV43+CW43)</f>
        <v>#REF!</v>
      </c>
      <c r="DC43" s="47"/>
      <c r="DE43" s="47" t="e">
        <f t="shared" si="41"/>
        <v>#REF!</v>
      </c>
      <c r="DJ43" s="47" t="e">
        <f t="shared" si="42"/>
        <v>#REF!</v>
      </c>
      <c r="DK43" s="66"/>
      <c r="DL43" s="47" t="e">
        <f t="shared" si="14"/>
        <v>#REF!</v>
      </c>
      <c r="DM43" s="47"/>
      <c r="DN43" s="47" t="e">
        <f t="shared" si="49"/>
        <v>#REF!</v>
      </c>
      <c r="DO43" s="47" t="e">
        <f>VLOOKUP($AA43,#REF!,7,0)*(+DL43+DM43)</f>
        <v>#REF!</v>
      </c>
      <c r="DP43" s="47" t="e">
        <f>VLOOKUP($AB43,#REF!,7,0)*(+DL43+DM43)</f>
        <v>#REF!</v>
      </c>
      <c r="DS43" s="47"/>
      <c r="DU43" s="47" t="e">
        <f t="shared" si="43"/>
        <v>#REF!</v>
      </c>
      <c r="DZ43" s="47" t="e">
        <f t="shared" si="44"/>
        <v>#REF!</v>
      </c>
      <c r="EA43" s="66"/>
    </row>
    <row r="44" spans="1:131" x14ac:dyDescent="0.2">
      <c r="A44" s="38" t="s">
        <v>374</v>
      </c>
      <c r="B44" s="39" t="s">
        <v>137</v>
      </c>
      <c r="C44" s="39" t="s">
        <v>138</v>
      </c>
      <c r="D44" s="39"/>
      <c r="E44" s="40">
        <v>5331</v>
      </c>
      <c r="F44" s="41"/>
      <c r="G44" s="41"/>
      <c r="H44" s="41"/>
      <c r="I44" s="41"/>
      <c r="J44" s="41"/>
      <c r="K44" s="51"/>
      <c r="L44" s="41"/>
      <c r="M44" s="41"/>
      <c r="N44" s="41"/>
      <c r="O44" s="41"/>
      <c r="P44" s="41"/>
      <c r="Q44" s="41"/>
      <c r="R44" s="41"/>
      <c r="S44" s="41">
        <f>SUM(E44:P44)/1.025*-0.025</f>
        <v>-130.02439024390245</v>
      </c>
      <c r="T44" s="42">
        <f t="shared" si="33"/>
        <v>5200.9756097560976</v>
      </c>
      <c r="U44" s="43"/>
      <c r="V44" s="141">
        <v>5200.9756097560976</v>
      </c>
      <c r="W44" s="142" t="s">
        <v>367</v>
      </c>
      <c r="X44" s="142">
        <v>5</v>
      </c>
      <c r="Y44" s="171" t="s">
        <v>423</v>
      </c>
      <c r="Z44" s="171" t="s">
        <v>428</v>
      </c>
      <c r="AA44" s="44" t="s">
        <v>282</v>
      </c>
      <c r="AB44" s="187" t="s">
        <v>456</v>
      </c>
      <c r="AC44" s="10">
        <f>+T44*0.025</f>
        <v>130.02439024390245</v>
      </c>
      <c r="AD44" s="13">
        <v>159.93</v>
      </c>
      <c r="AE44" s="10"/>
      <c r="AF44" s="10"/>
      <c r="AG44" s="45"/>
      <c r="AH44" s="45"/>
      <c r="AI44" s="45">
        <f t="shared" si="1"/>
        <v>-208.0390243902439</v>
      </c>
      <c r="AJ44" s="41"/>
      <c r="AK44" s="45"/>
      <c r="AL44" s="45"/>
      <c r="AN44" s="128">
        <v>-5283</v>
      </c>
      <c r="AO44" s="45"/>
      <c r="AP44" s="46">
        <f t="shared" si="34"/>
        <v>-0.10902439024357591</v>
      </c>
      <c r="AQ44" s="47"/>
      <c r="AR44" s="54"/>
      <c r="AS44" s="54"/>
      <c r="AW44" s="48">
        <f t="shared" si="35"/>
        <v>-0.10902439024357591</v>
      </c>
      <c r="AX44" s="66"/>
      <c r="AY44" s="47">
        <f t="shared" si="4"/>
        <v>-130.13341463414602</v>
      </c>
      <c r="AZ44" s="47">
        <v>130</v>
      </c>
      <c r="BA44" s="47">
        <f t="shared" si="45"/>
        <v>-2.8350609756029499E-3</v>
      </c>
      <c r="BB44" s="47" t="e">
        <f>VLOOKUP($AA44,#REF!,3,0)*(+AY44+AZ44)</f>
        <v>#REF!</v>
      </c>
      <c r="BC44" s="47" t="e">
        <f>VLOOKUP($AB44,#REF!,3,0)*(+AY44+AZ44)</f>
        <v>#REF!</v>
      </c>
      <c r="BE44" s="47"/>
      <c r="BF44" s="47"/>
      <c r="BH44" s="47" t="e">
        <f t="shared" si="36"/>
        <v>#REF!</v>
      </c>
      <c r="BM44" s="47" t="e">
        <f t="shared" si="37"/>
        <v>#REF!</v>
      </c>
      <c r="BN44" s="66"/>
      <c r="BO44" s="47" t="e">
        <f t="shared" si="6"/>
        <v>#REF!</v>
      </c>
      <c r="BP44" s="47"/>
      <c r="BQ44" s="47" t="e">
        <f t="shared" si="46"/>
        <v>#REF!</v>
      </c>
      <c r="BR44" s="47" t="e">
        <f>VLOOKUP($AA44,#REF!,4,0)*(+BO44+BP44)</f>
        <v>#REF!</v>
      </c>
      <c r="BS44" s="47" t="e">
        <f>VLOOKUP($AB44,#REF!,4,0)*(+BO44+BP44)</f>
        <v>#REF!</v>
      </c>
      <c r="BV44" s="47"/>
      <c r="BY44" s="47" t="e">
        <f t="shared" si="18"/>
        <v>#REF!</v>
      </c>
      <c r="CD44" s="47" t="e">
        <f t="shared" si="38"/>
        <v>#REF!</v>
      </c>
      <c r="CE44" s="66"/>
      <c r="CF44" s="47" t="e">
        <f t="shared" si="8"/>
        <v>#REF!</v>
      </c>
      <c r="CG44" s="47"/>
      <c r="CH44" s="47" t="e">
        <f t="shared" si="47"/>
        <v>#REF!</v>
      </c>
      <c r="CI44" s="47" t="e">
        <f>VLOOKUP($AA44,#REF!,5,0)*(+CF44+CG44)</f>
        <v>#REF!</v>
      </c>
      <c r="CJ44" s="47" t="e">
        <f>VLOOKUP($AB44,#REF!,5,0)*(+CF44+CG44)</f>
        <v>#REF!</v>
      </c>
      <c r="CM44" s="47"/>
      <c r="CO44" s="47" t="e">
        <f t="shared" si="39"/>
        <v>#REF!</v>
      </c>
      <c r="CT44" s="47" t="e">
        <f t="shared" si="40"/>
        <v>#REF!</v>
      </c>
      <c r="CU44" s="66"/>
      <c r="CV44" s="47" t="e">
        <f t="shared" si="11"/>
        <v>#REF!</v>
      </c>
      <c r="CW44" s="47"/>
      <c r="CX44" s="47" t="e">
        <f t="shared" si="48"/>
        <v>#REF!</v>
      </c>
      <c r="CY44" s="47" t="e">
        <f>VLOOKUP($AA44,#REF!,6,0)*(+CV44+CW44)</f>
        <v>#REF!</v>
      </c>
      <c r="CZ44" s="47" t="e">
        <f>VLOOKUP($AB44,#REF!,6,0)*(+CV44+CW44)</f>
        <v>#REF!</v>
      </c>
      <c r="DC44" s="47"/>
      <c r="DE44" s="47" t="e">
        <f t="shared" si="41"/>
        <v>#REF!</v>
      </c>
      <c r="DJ44" s="47" t="e">
        <f t="shared" si="42"/>
        <v>#REF!</v>
      </c>
      <c r="DK44" s="66"/>
      <c r="DL44" s="47" t="e">
        <f t="shared" si="14"/>
        <v>#REF!</v>
      </c>
      <c r="DM44" s="47"/>
      <c r="DN44" s="47" t="e">
        <f t="shared" si="49"/>
        <v>#REF!</v>
      </c>
      <c r="DO44" s="47" t="e">
        <f>VLOOKUP($AA44,#REF!,7,0)*(+DL44+DM44)</f>
        <v>#REF!</v>
      </c>
      <c r="DP44" s="47" t="e">
        <f>VLOOKUP($AB44,#REF!,7,0)*(+DL44+DM44)</f>
        <v>#REF!</v>
      </c>
      <c r="DS44" s="47"/>
      <c r="DU44" s="47" t="e">
        <f t="shared" si="43"/>
        <v>#REF!</v>
      </c>
      <c r="DZ44" s="47" t="e">
        <f t="shared" si="44"/>
        <v>#REF!</v>
      </c>
      <c r="EA44" s="66"/>
    </row>
    <row r="45" spans="1:131" x14ac:dyDescent="0.2">
      <c r="A45" s="38" t="s">
        <v>374</v>
      </c>
      <c r="B45" s="39" t="s">
        <v>139</v>
      </c>
      <c r="C45" s="39" t="s">
        <v>140</v>
      </c>
      <c r="D45" s="49" t="s">
        <v>327</v>
      </c>
      <c r="E45" s="40">
        <v>49743</v>
      </c>
      <c r="F45" s="41"/>
      <c r="G45" s="41"/>
      <c r="H45" s="41"/>
      <c r="I45" s="41"/>
      <c r="J45" s="41"/>
      <c r="K45" s="51"/>
      <c r="L45" s="41"/>
      <c r="M45" s="41"/>
      <c r="N45" s="41"/>
      <c r="O45" s="41"/>
      <c r="P45" s="41"/>
      <c r="Q45" s="41"/>
      <c r="R45" s="41"/>
      <c r="S45" s="41">
        <f>SUM(E45:P45)/1.025*-0.025</f>
        <v>-1213.2439024390246</v>
      </c>
      <c r="T45" s="42">
        <f t="shared" si="33"/>
        <v>48529.756097560974</v>
      </c>
      <c r="U45" s="43"/>
      <c r="V45" s="141">
        <v>-416.24390243902599</v>
      </c>
      <c r="W45" s="142" t="s">
        <v>367</v>
      </c>
      <c r="X45" s="142">
        <v>5</v>
      </c>
      <c r="Y45" s="171" t="s">
        <v>423</v>
      </c>
      <c r="Z45" s="171" t="s">
        <v>428</v>
      </c>
      <c r="AA45" s="44" t="s">
        <v>282</v>
      </c>
      <c r="AB45" s="187" t="s">
        <v>456</v>
      </c>
      <c r="AC45" s="10">
        <f>+T45*0.025</f>
        <v>1213.2439024390244</v>
      </c>
      <c r="AD45" s="13">
        <v>1144.0889999999999</v>
      </c>
      <c r="AE45" s="10"/>
      <c r="AF45" s="10"/>
      <c r="AG45" s="45"/>
      <c r="AH45" s="45"/>
      <c r="AI45" s="45">
        <f t="shared" si="1"/>
        <v>-1941.1902439024391</v>
      </c>
      <c r="AJ45" s="41"/>
      <c r="AK45" s="45"/>
      <c r="AL45" s="45"/>
      <c r="AN45" s="128">
        <v>0</v>
      </c>
      <c r="AO45" s="45"/>
      <c r="AP45" s="46">
        <f t="shared" si="34"/>
        <v>-0.10124390244095594</v>
      </c>
      <c r="AQ45" s="47"/>
      <c r="AW45" s="48">
        <f t="shared" si="35"/>
        <v>-0.10124390244095594</v>
      </c>
      <c r="AX45" s="66"/>
      <c r="AY45" s="47">
        <f t="shared" si="4"/>
        <v>-1213.3451463414654</v>
      </c>
      <c r="AZ45" s="47">
        <v>1213</v>
      </c>
      <c r="BA45" s="47">
        <f t="shared" si="45"/>
        <v>-7.3343597561387249E-3</v>
      </c>
      <c r="BB45" s="47" t="e">
        <f>VLOOKUP($AA45,#REF!,3,0)*(+AY45+AZ45)</f>
        <v>#REF!</v>
      </c>
      <c r="BC45" s="47" t="e">
        <f>VLOOKUP($AB45,#REF!,3,0)*(+AY45+AZ45)</f>
        <v>#REF!</v>
      </c>
      <c r="BE45" s="47"/>
      <c r="BF45" s="47"/>
      <c r="BH45" s="47" t="e">
        <f t="shared" si="36"/>
        <v>#REF!</v>
      </c>
      <c r="BM45" s="47" t="e">
        <f t="shared" si="37"/>
        <v>#REF!</v>
      </c>
      <c r="BN45" s="66"/>
      <c r="BO45" s="47" t="e">
        <f t="shared" si="6"/>
        <v>#REF!</v>
      </c>
      <c r="BP45" s="47"/>
      <c r="BQ45" s="47" t="e">
        <f t="shared" si="46"/>
        <v>#REF!</v>
      </c>
      <c r="BR45" s="47" t="e">
        <f>VLOOKUP($AA45,#REF!,4,0)*(+BO45+BP45)</f>
        <v>#REF!</v>
      </c>
      <c r="BS45" s="47" t="e">
        <f>VLOOKUP($AB45,#REF!,4,0)*(+BO45+BP45)</f>
        <v>#REF!</v>
      </c>
      <c r="BV45" s="47"/>
      <c r="BY45" s="47" t="e">
        <f t="shared" si="18"/>
        <v>#REF!</v>
      </c>
      <c r="CD45" s="47" t="e">
        <f t="shared" si="38"/>
        <v>#REF!</v>
      </c>
      <c r="CE45" s="66"/>
      <c r="CF45" s="47" t="e">
        <f t="shared" si="8"/>
        <v>#REF!</v>
      </c>
      <c r="CG45" s="47"/>
      <c r="CH45" s="47" t="e">
        <f t="shared" si="47"/>
        <v>#REF!</v>
      </c>
      <c r="CI45" s="47" t="e">
        <f>VLOOKUP($AA45,#REF!,5,0)*(+CF45+CG45)</f>
        <v>#REF!</v>
      </c>
      <c r="CJ45" s="47" t="e">
        <f>VLOOKUP($AB45,#REF!,5,0)*(+CF45+CG45)</f>
        <v>#REF!</v>
      </c>
      <c r="CM45" s="47"/>
      <c r="CO45" s="47" t="e">
        <f t="shared" si="39"/>
        <v>#REF!</v>
      </c>
      <c r="CT45" s="47" t="e">
        <f t="shared" si="40"/>
        <v>#REF!</v>
      </c>
      <c r="CU45" s="66"/>
      <c r="CV45" s="47" t="e">
        <f t="shared" si="11"/>
        <v>#REF!</v>
      </c>
      <c r="CW45" s="47"/>
      <c r="CX45" s="47" t="e">
        <f t="shared" si="48"/>
        <v>#REF!</v>
      </c>
      <c r="CY45" s="47" t="e">
        <f>VLOOKUP($AA45,#REF!,6,0)*(+CV45+CW45)</f>
        <v>#REF!</v>
      </c>
      <c r="CZ45" s="47" t="e">
        <f>VLOOKUP($AB45,#REF!,6,0)*(+CV45+CW45)</f>
        <v>#REF!</v>
      </c>
      <c r="DC45" s="47"/>
      <c r="DE45" s="47" t="e">
        <f t="shared" si="41"/>
        <v>#REF!</v>
      </c>
      <c r="DJ45" s="47" t="e">
        <f t="shared" si="42"/>
        <v>#REF!</v>
      </c>
      <c r="DK45" s="66"/>
      <c r="DL45" s="47" t="e">
        <f t="shared" si="14"/>
        <v>#REF!</v>
      </c>
      <c r="DM45" s="47"/>
      <c r="DN45" s="47" t="e">
        <f t="shared" si="49"/>
        <v>#REF!</v>
      </c>
      <c r="DO45" s="47" t="e">
        <f>VLOOKUP($AA45,#REF!,7,0)*(+DL45+DM45)</f>
        <v>#REF!</v>
      </c>
      <c r="DP45" s="47" t="e">
        <f>VLOOKUP($AB45,#REF!,7,0)*(+DL45+DM45)</f>
        <v>#REF!</v>
      </c>
      <c r="DS45" s="47"/>
      <c r="DU45" s="47" t="e">
        <f t="shared" si="43"/>
        <v>#REF!</v>
      </c>
      <c r="DZ45" s="47" t="e">
        <f t="shared" si="44"/>
        <v>#REF!</v>
      </c>
      <c r="EA45" s="66"/>
    </row>
    <row r="46" spans="1:131" x14ac:dyDescent="0.2">
      <c r="A46" s="38" t="s">
        <v>374</v>
      </c>
      <c r="B46" s="39" t="s">
        <v>141</v>
      </c>
      <c r="C46" s="39" t="s">
        <v>142</v>
      </c>
      <c r="D46" s="49" t="s">
        <v>332</v>
      </c>
      <c r="E46" s="40">
        <v>47538</v>
      </c>
      <c r="F46" s="41"/>
      <c r="G46" s="41"/>
      <c r="H46" s="41"/>
      <c r="I46" s="41"/>
      <c r="J46" s="41"/>
      <c r="K46" s="51"/>
      <c r="L46" s="41"/>
      <c r="M46" s="41"/>
      <c r="N46" s="41"/>
      <c r="O46" s="41"/>
      <c r="P46" s="41"/>
      <c r="Q46" s="41"/>
      <c r="R46" s="41"/>
      <c r="S46" s="41">
        <f>SUM(E46:P46)/1.025*-0.025</f>
        <v>-1159.4634146341466</v>
      </c>
      <c r="T46" s="42">
        <f t="shared" si="33"/>
        <v>46378.536585365851</v>
      </c>
      <c r="U46" s="43"/>
      <c r="V46" s="141">
        <v>46378.536585365851</v>
      </c>
      <c r="W46" s="142" t="s">
        <v>367</v>
      </c>
      <c r="X46" s="142">
        <v>5</v>
      </c>
      <c r="Y46" s="171" t="s">
        <v>423</v>
      </c>
      <c r="Z46" s="171" t="s">
        <v>428</v>
      </c>
      <c r="AA46" s="44" t="s">
        <v>282</v>
      </c>
      <c r="AB46" s="187" t="s">
        <v>456</v>
      </c>
      <c r="AC46" s="10">
        <f>+T46*0.025</f>
        <v>1159.4634146341464</v>
      </c>
      <c r="AD46" s="13">
        <v>1093.374</v>
      </c>
      <c r="AE46" s="10"/>
      <c r="AF46" s="10"/>
      <c r="AG46" s="45"/>
      <c r="AH46" s="45"/>
      <c r="AI46" s="45">
        <f t="shared" si="1"/>
        <v>-1855.141463414634</v>
      </c>
      <c r="AJ46" s="41"/>
      <c r="AK46" s="45"/>
      <c r="AL46" s="45"/>
      <c r="AN46" s="128">
        <v>-46776</v>
      </c>
      <c r="AO46" s="45"/>
      <c r="AP46" s="46">
        <f t="shared" si="34"/>
        <v>0.23253658536123112</v>
      </c>
      <c r="AQ46" s="47"/>
      <c r="AW46" s="48">
        <f t="shared" si="35"/>
        <v>0.23253658536123112</v>
      </c>
      <c r="AX46" s="66"/>
      <c r="AY46" s="47">
        <f t="shared" si="4"/>
        <v>-1159.2308780487851</v>
      </c>
      <c r="AZ46" s="47">
        <v>1159</v>
      </c>
      <c r="BA46" s="47">
        <f t="shared" si="45"/>
        <v>-4.9061585366843019E-3</v>
      </c>
      <c r="BB46" s="47" t="e">
        <f>VLOOKUP($AA46,#REF!,3,0)*(+AY46+AZ46)</f>
        <v>#REF!</v>
      </c>
      <c r="BC46" s="47" t="e">
        <f>VLOOKUP($AB46,#REF!,3,0)*(+AY46+AZ46)</f>
        <v>#REF!</v>
      </c>
      <c r="BE46" s="47"/>
      <c r="BF46" s="47"/>
      <c r="BH46" s="47" t="e">
        <f t="shared" si="36"/>
        <v>#REF!</v>
      </c>
      <c r="BM46" s="47" t="e">
        <f t="shared" si="37"/>
        <v>#REF!</v>
      </c>
      <c r="BN46" s="66"/>
      <c r="BO46" s="47" t="e">
        <f t="shared" si="6"/>
        <v>#REF!</v>
      </c>
      <c r="BP46" s="47"/>
      <c r="BQ46" s="47" t="e">
        <f t="shared" si="46"/>
        <v>#REF!</v>
      </c>
      <c r="BR46" s="47" t="e">
        <f>VLOOKUP($AA46,#REF!,4,0)*(+BO46+BP46)</f>
        <v>#REF!</v>
      </c>
      <c r="BS46" s="47" t="e">
        <f>VLOOKUP($AB46,#REF!,4,0)*(+BO46+BP46)</f>
        <v>#REF!</v>
      </c>
      <c r="BV46" s="47"/>
      <c r="BY46" s="47" t="e">
        <f t="shared" si="18"/>
        <v>#REF!</v>
      </c>
      <c r="CD46" s="47" t="e">
        <f t="shared" si="38"/>
        <v>#REF!</v>
      </c>
      <c r="CE46" s="66"/>
      <c r="CF46" s="47" t="e">
        <f t="shared" si="8"/>
        <v>#REF!</v>
      </c>
      <c r="CG46" s="47"/>
      <c r="CH46" s="47" t="e">
        <f t="shared" si="47"/>
        <v>#REF!</v>
      </c>
      <c r="CI46" s="47" t="e">
        <f>VLOOKUP($AA46,#REF!,5,0)*(+CF46+CG46)</f>
        <v>#REF!</v>
      </c>
      <c r="CJ46" s="47" t="e">
        <f>VLOOKUP($AB46,#REF!,5,0)*(+CF46+CG46)</f>
        <v>#REF!</v>
      </c>
      <c r="CM46" s="47"/>
      <c r="CO46" s="47" t="e">
        <f t="shared" si="39"/>
        <v>#REF!</v>
      </c>
      <c r="CT46" s="47" t="e">
        <f t="shared" si="40"/>
        <v>#REF!</v>
      </c>
      <c r="CU46" s="66"/>
      <c r="CV46" s="47" t="e">
        <f t="shared" si="11"/>
        <v>#REF!</v>
      </c>
      <c r="CW46" s="47"/>
      <c r="CX46" s="47" t="e">
        <f t="shared" si="48"/>
        <v>#REF!</v>
      </c>
      <c r="CY46" s="47" t="e">
        <f>VLOOKUP($AA46,#REF!,6,0)*(+CV46+CW46)</f>
        <v>#REF!</v>
      </c>
      <c r="CZ46" s="47" t="e">
        <f>VLOOKUP($AB46,#REF!,6,0)*(+CV46+CW46)</f>
        <v>#REF!</v>
      </c>
      <c r="DC46" s="47"/>
      <c r="DE46" s="47" t="e">
        <f t="shared" si="41"/>
        <v>#REF!</v>
      </c>
      <c r="DJ46" s="47" t="e">
        <f t="shared" si="42"/>
        <v>#REF!</v>
      </c>
      <c r="DK46" s="66"/>
      <c r="DL46" s="47" t="e">
        <f t="shared" si="14"/>
        <v>#REF!</v>
      </c>
      <c r="DM46" s="47"/>
      <c r="DN46" s="47" t="e">
        <f t="shared" si="49"/>
        <v>#REF!</v>
      </c>
      <c r="DO46" s="47" t="e">
        <f>VLOOKUP($AA46,#REF!,7,0)*(+DL46+DM46)</f>
        <v>#REF!</v>
      </c>
      <c r="DP46" s="47" t="e">
        <f>VLOOKUP($AB46,#REF!,7,0)*(+DL46+DM46)</f>
        <v>#REF!</v>
      </c>
      <c r="DS46" s="47"/>
      <c r="DU46" s="47" t="e">
        <f t="shared" si="43"/>
        <v>#REF!</v>
      </c>
      <c r="DZ46" s="47" t="e">
        <f t="shared" si="44"/>
        <v>#REF!</v>
      </c>
      <c r="EA46" s="66"/>
    </row>
    <row r="47" spans="1:131" x14ac:dyDescent="0.2">
      <c r="A47" s="38" t="s">
        <v>374</v>
      </c>
      <c r="B47" s="39" t="s">
        <v>143</v>
      </c>
      <c r="C47" s="39" t="s">
        <v>144</v>
      </c>
      <c r="D47" s="39"/>
      <c r="E47" s="40">
        <v>8891</v>
      </c>
      <c r="F47" s="41"/>
      <c r="G47" s="41"/>
      <c r="H47" s="41"/>
      <c r="I47" s="41"/>
      <c r="J47" s="41"/>
      <c r="K47" s="51"/>
      <c r="L47" s="41"/>
      <c r="M47" s="41"/>
      <c r="N47" s="41"/>
      <c r="O47" s="41"/>
      <c r="P47" s="41"/>
      <c r="Q47" s="41"/>
      <c r="R47" s="41"/>
      <c r="S47" s="41"/>
      <c r="T47" s="42">
        <f t="shared" si="33"/>
        <v>8891</v>
      </c>
      <c r="U47" s="43"/>
      <c r="V47" s="141">
        <v>8891</v>
      </c>
      <c r="W47" s="142" t="s">
        <v>367</v>
      </c>
      <c r="X47" s="142">
        <v>5</v>
      </c>
      <c r="Y47" s="171" t="s">
        <v>423</v>
      </c>
      <c r="Z47" s="171" t="s">
        <v>428</v>
      </c>
      <c r="AA47" s="44" t="s">
        <v>282</v>
      </c>
      <c r="AB47" s="187" t="s">
        <v>456</v>
      </c>
      <c r="AC47" s="10"/>
      <c r="AD47" s="13">
        <v>266.73</v>
      </c>
      <c r="AE47" s="10"/>
      <c r="AF47" s="10"/>
      <c r="AG47" s="45"/>
      <c r="AH47" s="45"/>
      <c r="AI47" s="45">
        <f t="shared" si="1"/>
        <v>-355.64</v>
      </c>
      <c r="AJ47" s="41"/>
      <c r="AK47" s="45"/>
      <c r="AL47" s="45"/>
      <c r="AN47" s="128">
        <v>-8802</v>
      </c>
      <c r="AO47" s="45"/>
      <c r="AP47" s="46">
        <f t="shared" si="34"/>
        <v>9.0000000000145519E-2</v>
      </c>
      <c r="AQ47" s="47"/>
      <c r="AT47" s="54"/>
      <c r="AU47" s="54"/>
      <c r="AW47" s="48">
        <f t="shared" si="35"/>
        <v>9.0000000000145519E-2</v>
      </c>
      <c r="AX47" s="66"/>
      <c r="AY47" s="47">
        <f t="shared" si="4"/>
        <v>9.0000000000145519E-2</v>
      </c>
      <c r="AZ47" s="47"/>
      <c r="BB47" s="47" t="e">
        <f>VLOOKUP($AA47,#REF!,3,0)*(+AY47+AZ47)</f>
        <v>#REF!</v>
      </c>
      <c r="BC47" s="47" t="e">
        <f>VLOOKUP($AB47,#REF!,3,0)*(+AY47+AZ47)</f>
        <v>#REF!</v>
      </c>
      <c r="BE47" s="47"/>
      <c r="BF47" s="47"/>
      <c r="BH47" s="47" t="e">
        <f t="shared" si="36"/>
        <v>#REF!</v>
      </c>
      <c r="BM47" s="47" t="e">
        <f t="shared" si="37"/>
        <v>#REF!</v>
      </c>
      <c r="BN47" s="66"/>
      <c r="BO47" s="47" t="e">
        <f t="shared" si="6"/>
        <v>#REF!</v>
      </c>
      <c r="BP47" s="47"/>
      <c r="BR47" s="47" t="e">
        <f>VLOOKUP($AA47,#REF!,4,0)*(+BO47+BP47)</f>
        <v>#REF!</v>
      </c>
      <c r="BS47" s="47" t="e">
        <f>VLOOKUP($AB47,#REF!,4,0)*(+BO47+BP47)</f>
        <v>#REF!</v>
      </c>
      <c r="BV47" s="47"/>
      <c r="BY47" s="47" t="e">
        <f t="shared" si="18"/>
        <v>#REF!</v>
      </c>
      <c r="CD47" s="47" t="e">
        <f t="shared" si="38"/>
        <v>#REF!</v>
      </c>
      <c r="CE47" s="66"/>
      <c r="CF47" s="47" t="e">
        <f t="shared" si="8"/>
        <v>#REF!</v>
      </c>
      <c r="CG47" s="47"/>
      <c r="CI47" s="47" t="e">
        <f>VLOOKUP($AA47,#REF!,5,0)*(+CF47+CG47)</f>
        <v>#REF!</v>
      </c>
      <c r="CJ47" s="47" t="e">
        <f>VLOOKUP($AB47,#REF!,5,0)*(+CF47+CG47)</f>
        <v>#REF!</v>
      </c>
      <c r="CM47" s="47"/>
      <c r="CO47" s="47" t="e">
        <f t="shared" si="39"/>
        <v>#REF!</v>
      </c>
      <c r="CT47" s="47" t="e">
        <f t="shared" si="40"/>
        <v>#REF!</v>
      </c>
      <c r="CU47" s="66"/>
      <c r="CV47" s="47" t="e">
        <f t="shared" si="11"/>
        <v>#REF!</v>
      </c>
      <c r="CW47" s="47"/>
      <c r="CY47" s="47" t="e">
        <f>VLOOKUP($AA47,#REF!,6,0)*(+CV47+CW47)</f>
        <v>#REF!</v>
      </c>
      <c r="CZ47" s="47" t="e">
        <f>VLOOKUP($AB47,#REF!,6,0)*(+CV47+CW47)</f>
        <v>#REF!</v>
      </c>
      <c r="DC47" s="47"/>
      <c r="DE47" s="47" t="e">
        <f t="shared" si="41"/>
        <v>#REF!</v>
      </c>
      <c r="DJ47" s="47" t="e">
        <f t="shared" si="42"/>
        <v>#REF!</v>
      </c>
      <c r="DK47" s="66"/>
      <c r="DL47" s="47" t="e">
        <f t="shared" si="14"/>
        <v>#REF!</v>
      </c>
      <c r="DM47" s="47"/>
      <c r="DO47" s="47" t="e">
        <f>VLOOKUP($AA47,#REF!,7,0)*(+DL47+DM47)</f>
        <v>#REF!</v>
      </c>
      <c r="DP47" s="47" t="e">
        <f>VLOOKUP($AB47,#REF!,7,0)*(+DL47+DM47)</f>
        <v>#REF!</v>
      </c>
      <c r="DS47" s="47"/>
      <c r="DU47" s="47" t="e">
        <f t="shared" si="43"/>
        <v>#REF!</v>
      </c>
      <c r="DZ47" s="47" t="e">
        <f t="shared" si="44"/>
        <v>#REF!</v>
      </c>
      <c r="EA47" s="66"/>
    </row>
    <row r="48" spans="1:131" x14ac:dyDescent="0.2">
      <c r="A48" s="38" t="s">
        <v>380</v>
      </c>
      <c r="B48" s="39" t="s">
        <v>153</v>
      </c>
      <c r="C48" s="39" t="s">
        <v>154</v>
      </c>
      <c r="D48" s="39"/>
      <c r="E48" s="40">
        <v>258676</v>
      </c>
      <c r="F48" s="41"/>
      <c r="G48" s="41"/>
      <c r="H48" s="41"/>
      <c r="I48" s="41"/>
      <c r="J48" s="41"/>
      <c r="K48" s="51"/>
      <c r="L48" s="41"/>
      <c r="M48" s="41"/>
      <c r="N48" s="41"/>
      <c r="O48" s="41"/>
      <c r="P48" s="41"/>
      <c r="Q48" s="41"/>
      <c r="R48" s="41"/>
      <c r="S48" s="41"/>
      <c r="T48" s="42">
        <f t="shared" si="33"/>
        <v>258676</v>
      </c>
      <c r="U48" s="43"/>
      <c r="V48" s="139">
        <v>258676</v>
      </c>
      <c r="W48" s="143" t="s">
        <v>368</v>
      </c>
      <c r="X48" s="143">
        <v>11</v>
      </c>
      <c r="Y48" s="171" t="s">
        <v>423</v>
      </c>
      <c r="Z48" s="171" t="s">
        <v>428</v>
      </c>
      <c r="AA48" s="44" t="s">
        <v>282</v>
      </c>
      <c r="AB48" s="187" t="s">
        <v>456</v>
      </c>
      <c r="AC48" s="10"/>
      <c r="AD48" s="13">
        <v>5949.5479999999998</v>
      </c>
      <c r="AE48" s="10"/>
      <c r="AF48" s="10"/>
      <c r="AG48" s="45"/>
      <c r="AH48" s="45"/>
      <c r="AI48" s="45"/>
      <c r="AJ48" s="41"/>
      <c r="AK48" s="45"/>
      <c r="AL48" s="45"/>
      <c r="AN48" s="128">
        <v>0</v>
      </c>
      <c r="AO48" s="45"/>
      <c r="AP48" s="46">
        <f t="shared" si="34"/>
        <v>264625.54800000001</v>
      </c>
      <c r="AQ48" s="47"/>
      <c r="AW48" s="48">
        <f t="shared" si="35"/>
        <v>264625.54800000001</v>
      </c>
      <c r="AX48" s="66"/>
      <c r="AY48" s="47">
        <f t="shared" si="4"/>
        <v>264625.54800000001</v>
      </c>
      <c r="AZ48" s="47"/>
      <c r="BB48" s="47" t="e">
        <f>VLOOKUP($AA48,#REF!,3,0)*(+AY48+AZ48)</f>
        <v>#REF!</v>
      </c>
      <c r="BC48" s="47" t="e">
        <f>VLOOKUP($AB48,#REF!,3,0)*(+AY48+AZ48)</f>
        <v>#REF!</v>
      </c>
      <c r="BE48" s="47"/>
      <c r="BF48" s="47"/>
      <c r="BH48" s="47" t="e">
        <f t="shared" si="36"/>
        <v>#REF!</v>
      </c>
      <c r="BM48" s="47" t="e">
        <f t="shared" si="37"/>
        <v>#REF!</v>
      </c>
      <c r="BN48" s="66"/>
      <c r="BO48" s="47" t="e">
        <f t="shared" si="6"/>
        <v>#REF!</v>
      </c>
      <c r="BP48" s="47"/>
      <c r="BR48" s="47" t="e">
        <f>VLOOKUP($AA48,#REF!,4,0)*(+BO48+BP48)</f>
        <v>#REF!</v>
      </c>
      <c r="BS48" s="47" t="e">
        <f>VLOOKUP($AB48,#REF!,4,0)*(+BO48+BP48)</f>
        <v>#REF!</v>
      </c>
      <c r="BV48" s="47"/>
      <c r="BY48" s="47" t="e">
        <f t="shared" si="18"/>
        <v>#REF!</v>
      </c>
      <c r="CD48" s="47" t="e">
        <f t="shared" si="38"/>
        <v>#REF!</v>
      </c>
      <c r="CE48" s="66"/>
      <c r="CF48" s="47" t="e">
        <f t="shared" si="8"/>
        <v>#REF!</v>
      </c>
      <c r="CG48" s="47"/>
      <c r="CI48" s="47" t="e">
        <f>VLOOKUP($AA48,#REF!,5,0)*(+CF48+CG48)</f>
        <v>#REF!</v>
      </c>
      <c r="CJ48" s="47" t="e">
        <f>VLOOKUP($AB48,#REF!,5,0)*(+CF48+CG48)</f>
        <v>#REF!</v>
      </c>
      <c r="CM48" s="47"/>
      <c r="CO48" s="47" t="e">
        <f t="shared" si="39"/>
        <v>#REF!</v>
      </c>
      <c r="CT48" s="47" t="e">
        <f t="shared" si="40"/>
        <v>#REF!</v>
      </c>
      <c r="CU48" s="66"/>
      <c r="CV48" s="47" t="e">
        <f t="shared" si="11"/>
        <v>#REF!</v>
      </c>
      <c r="CW48" s="47"/>
      <c r="CY48" s="47" t="e">
        <f>VLOOKUP($AA48,#REF!,6,0)*(+CV48+CW48)</f>
        <v>#REF!</v>
      </c>
      <c r="CZ48" s="47" t="e">
        <f>VLOOKUP($AB48,#REF!,6,0)*(+CV48+CW48)</f>
        <v>#REF!</v>
      </c>
      <c r="DC48" s="47"/>
      <c r="DE48" s="47" t="e">
        <f t="shared" si="41"/>
        <v>#REF!</v>
      </c>
      <c r="DJ48" s="47" t="e">
        <f t="shared" si="42"/>
        <v>#REF!</v>
      </c>
      <c r="DK48" s="66"/>
      <c r="DL48" s="47" t="e">
        <f t="shared" si="14"/>
        <v>#REF!</v>
      </c>
      <c r="DM48" s="47"/>
      <c r="DO48" s="47" t="e">
        <f>VLOOKUP($AA48,#REF!,7,0)*(+DL48+DM48)</f>
        <v>#REF!</v>
      </c>
      <c r="DP48" s="47" t="e">
        <f>VLOOKUP($AB48,#REF!,7,0)*(+DL48+DM48)</f>
        <v>#REF!</v>
      </c>
      <c r="DS48" s="47"/>
      <c r="DU48" s="47" t="e">
        <f t="shared" si="43"/>
        <v>#REF!</v>
      </c>
      <c r="DZ48" s="47" t="e">
        <f t="shared" si="44"/>
        <v>#REF!</v>
      </c>
      <c r="EA48" s="66"/>
    </row>
    <row r="49" spans="1:131" x14ac:dyDescent="0.2">
      <c r="A49" s="38" t="s">
        <v>380</v>
      </c>
      <c r="B49" s="39" t="s">
        <v>155</v>
      </c>
      <c r="C49" s="39" t="s">
        <v>156</v>
      </c>
      <c r="D49" s="39"/>
      <c r="E49" s="40">
        <v>74924</v>
      </c>
      <c r="F49" s="41"/>
      <c r="G49" s="41"/>
      <c r="H49" s="41"/>
      <c r="I49" s="41"/>
      <c r="J49" s="41"/>
      <c r="K49" s="51"/>
      <c r="L49" s="41"/>
      <c r="M49" s="41"/>
      <c r="N49" s="41"/>
      <c r="O49" s="41"/>
      <c r="P49" s="41"/>
      <c r="Q49" s="41"/>
      <c r="R49" s="41"/>
      <c r="S49" s="41"/>
      <c r="T49" s="42">
        <f t="shared" si="33"/>
        <v>74924</v>
      </c>
      <c r="U49" s="43"/>
      <c r="V49" s="139">
        <v>74924</v>
      </c>
      <c r="W49" s="143" t="s">
        <v>368</v>
      </c>
      <c r="X49" s="143">
        <v>11</v>
      </c>
      <c r="Y49" s="171" t="s">
        <v>423</v>
      </c>
      <c r="Z49" s="171" t="s">
        <v>428</v>
      </c>
      <c r="AA49" s="44" t="s">
        <v>282</v>
      </c>
      <c r="AB49" s="187" t="s">
        <v>456</v>
      </c>
      <c r="AC49" s="10"/>
      <c r="AD49" s="13">
        <v>1723.252</v>
      </c>
      <c r="AE49" s="10"/>
      <c r="AF49" s="10"/>
      <c r="AG49" s="45"/>
      <c r="AH49" s="45"/>
      <c r="AI49" s="45"/>
      <c r="AJ49" s="41"/>
      <c r="AK49" s="45"/>
      <c r="AL49" s="45"/>
      <c r="AN49" s="128">
        <v>0</v>
      </c>
      <c r="AO49" s="45"/>
      <c r="AP49" s="46">
        <f t="shared" si="34"/>
        <v>76647.251999999993</v>
      </c>
      <c r="AQ49" s="47"/>
      <c r="AW49" s="48">
        <f t="shared" si="35"/>
        <v>76647.251999999993</v>
      </c>
      <c r="AX49" s="66"/>
      <c r="AY49" s="47">
        <f t="shared" si="4"/>
        <v>76647.251999999993</v>
      </c>
      <c r="AZ49" s="47"/>
      <c r="BB49" s="47" t="e">
        <f>VLOOKUP($AA49,#REF!,3,0)*(+AY49+AZ49)</f>
        <v>#REF!</v>
      </c>
      <c r="BC49" s="47" t="e">
        <f>VLOOKUP($AB49,#REF!,3,0)*(+AY49+AZ49)</f>
        <v>#REF!</v>
      </c>
      <c r="BE49" s="47"/>
      <c r="BF49" s="47"/>
      <c r="BH49" s="47" t="e">
        <f t="shared" si="36"/>
        <v>#REF!</v>
      </c>
      <c r="BM49" s="47" t="e">
        <f t="shared" si="37"/>
        <v>#REF!</v>
      </c>
      <c r="BN49" s="66"/>
      <c r="BO49" s="47" t="e">
        <f t="shared" si="6"/>
        <v>#REF!</v>
      </c>
      <c r="BP49" s="47"/>
      <c r="BR49" s="47" t="e">
        <f>VLOOKUP($AA49,#REF!,4,0)*(+BO49+BP49)</f>
        <v>#REF!</v>
      </c>
      <c r="BS49" s="47" t="e">
        <f>VLOOKUP($AB49,#REF!,4,0)*(+BO49+BP49)</f>
        <v>#REF!</v>
      </c>
      <c r="BV49" s="47"/>
      <c r="BY49" s="47" t="e">
        <f t="shared" si="18"/>
        <v>#REF!</v>
      </c>
      <c r="CD49" s="47" t="e">
        <f t="shared" si="38"/>
        <v>#REF!</v>
      </c>
      <c r="CE49" s="66"/>
      <c r="CF49" s="47" t="e">
        <f t="shared" si="8"/>
        <v>#REF!</v>
      </c>
      <c r="CG49" s="47"/>
      <c r="CI49" s="47" t="e">
        <f>VLOOKUP($AA49,#REF!,5,0)*(+CF49+CG49)</f>
        <v>#REF!</v>
      </c>
      <c r="CJ49" s="47" t="e">
        <f>VLOOKUP($AB49,#REF!,5,0)*(+CF49+CG49)</f>
        <v>#REF!</v>
      </c>
      <c r="CM49" s="47"/>
      <c r="CO49" s="47" t="e">
        <f t="shared" si="39"/>
        <v>#REF!</v>
      </c>
      <c r="CT49" s="47" t="e">
        <f t="shared" si="40"/>
        <v>#REF!</v>
      </c>
      <c r="CU49" s="66"/>
      <c r="CV49" s="47" t="e">
        <f t="shared" si="11"/>
        <v>#REF!</v>
      </c>
      <c r="CW49" s="47"/>
      <c r="CY49" s="47" t="e">
        <f>VLOOKUP($AA49,#REF!,6,0)*(+CV49+CW49)</f>
        <v>#REF!</v>
      </c>
      <c r="CZ49" s="47" t="e">
        <f>VLOOKUP($AB49,#REF!,6,0)*(+CV49+CW49)</f>
        <v>#REF!</v>
      </c>
      <c r="DC49" s="47"/>
      <c r="DE49" s="47" t="e">
        <f t="shared" si="41"/>
        <v>#REF!</v>
      </c>
      <c r="DJ49" s="47" t="e">
        <f t="shared" si="42"/>
        <v>#REF!</v>
      </c>
      <c r="DK49" s="66"/>
      <c r="DL49" s="47" t="e">
        <f t="shared" si="14"/>
        <v>#REF!</v>
      </c>
      <c r="DM49" s="47"/>
      <c r="DO49" s="47" t="e">
        <f>VLOOKUP($AA49,#REF!,7,0)*(+DL49+DM49)</f>
        <v>#REF!</v>
      </c>
      <c r="DP49" s="47" t="e">
        <f>VLOOKUP($AB49,#REF!,7,0)*(+DL49+DM49)</f>
        <v>#REF!</v>
      </c>
      <c r="DS49" s="47"/>
      <c r="DU49" s="47" t="e">
        <f t="shared" si="43"/>
        <v>#REF!</v>
      </c>
      <c r="DZ49" s="47" t="e">
        <f t="shared" si="44"/>
        <v>#REF!</v>
      </c>
      <c r="EA49" s="66"/>
    </row>
    <row r="50" spans="1:131" x14ac:dyDescent="0.2">
      <c r="A50" s="38" t="s">
        <v>380</v>
      </c>
      <c r="B50" s="39" t="s">
        <v>157</v>
      </c>
      <c r="C50" s="39" t="s">
        <v>158</v>
      </c>
      <c r="D50" s="39"/>
      <c r="E50" s="40">
        <v>883780</v>
      </c>
      <c r="F50" s="41"/>
      <c r="G50" s="41"/>
      <c r="H50" s="41"/>
      <c r="I50" s="41"/>
      <c r="J50" s="41"/>
      <c r="K50" s="51"/>
      <c r="L50" s="41"/>
      <c r="M50" s="41"/>
      <c r="N50" s="41"/>
      <c r="O50" s="41"/>
      <c r="P50" s="41"/>
      <c r="Q50" s="41"/>
      <c r="R50" s="41"/>
      <c r="S50" s="41"/>
      <c r="T50" s="42">
        <f t="shared" si="33"/>
        <v>883780</v>
      </c>
      <c r="U50" s="43"/>
      <c r="V50" s="139">
        <v>883780</v>
      </c>
      <c r="W50" s="143" t="s">
        <v>368</v>
      </c>
      <c r="X50" s="143">
        <v>11</v>
      </c>
      <c r="Y50" s="171" t="s">
        <v>423</v>
      </c>
      <c r="Z50" s="171" t="s">
        <v>428</v>
      </c>
      <c r="AA50" s="44" t="s">
        <v>282</v>
      </c>
      <c r="AB50" s="187" t="s">
        <v>456</v>
      </c>
      <c r="AC50" s="10"/>
      <c r="AD50" s="13">
        <v>20326.939999999999</v>
      </c>
      <c r="AE50" s="10"/>
      <c r="AF50" s="10"/>
      <c r="AG50" s="45"/>
      <c r="AH50" s="45"/>
      <c r="AI50" s="45"/>
      <c r="AJ50" s="41"/>
      <c r="AK50" s="45"/>
      <c r="AL50" s="45"/>
      <c r="AN50" s="128">
        <v>0</v>
      </c>
      <c r="AO50" s="45"/>
      <c r="AP50" s="46">
        <f t="shared" si="34"/>
        <v>904106.94</v>
      </c>
      <c r="AQ50" s="47"/>
      <c r="AW50" s="48">
        <f t="shared" si="35"/>
        <v>904106.94</v>
      </c>
      <c r="AX50" s="66"/>
      <c r="AY50" s="47">
        <f t="shared" si="4"/>
        <v>904106.94</v>
      </c>
      <c r="AZ50" s="47"/>
      <c r="BB50" s="47" t="e">
        <f>VLOOKUP($AA50,#REF!,3,0)*(+AY50+AZ50)</f>
        <v>#REF!</v>
      </c>
      <c r="BC50" s="47" t="e">
        <f>VLOOKUP($AB50,#REF!,3,0)*(+AY50+AZ50)</f>
        <v>#REF!</v>
      </c>
      <c r="BE50" s="47"/>
      <c r="BF50" s="47"/>
      <c r="BH50" s="47" t="e">
        <f t="shared" si="36"/>
        <v>#REF!</v>
      </c>
      <c r="BM50" s="47" t="e">
        <f t="shared" si="37"/>
        <v>#REF!</v>
      </c>
      <c r="BN50" s="66"/>
      <c r="BO50" s="47" t="e">
        <f t="shared" si="6"/>
        <v>#REF!</v>
      </c>
      <c r="BP50" s="47"/>
      <c r="BR50" s="47" t="e">
        <f>VLOOKUP($AA50,#REF!,4,0)*(+BO50+BP50)</f>
        <v>#REF!</v>
      </c>
      <c r="BS50" s="47" t="e">
        <f>VLOOKUP($AB50,#REF!,4,0)*(+BO50+BP50)</f>
        <v>#REF!</v>
      </c>
      <c r="BV50" s="47"/>
      <c r="BY50" s="47" t="e">
        <f t="shared" si="18"/>
        <v>#REF!</v>
      </c>
      <c r="CD50" s="47" t="e">
        <f t="shared" si="38"/>
        <v>#REF!</v>
      </c>
      <c r="CE50" s="66"/>
      <c r="CF50" s="47" t="e">
        <f t="shared" si="8"/>
        <v>#REF!</v>
      </c>
      <c r="CG50" s="47"/>
      <c r="CI50" s="47" t="e">
        <f>VLOOKUP($AA50,#REF!,5,0)*(+CF50+CG50)</f>
        <v>#REF!</v>
      </c>
      <c r="CJ50" s="47" t="e">
        <f>VLOOKUP($AB50,#REF!,5,0)*(+CF50+CG50)</f>
        <v>#REF!</v>
      </c>
      <c r="CM50" s="47"/>
      <c r="CO50" s="47" t="e">
        <f t="shared" si="39"/>
        <v>#REF!</v>
      </c>
      <c r="CT50" s="47" t="e">
        <f t="shared" si="40"/>
        <v>#REF!</v>
      </c>
      <c r="CU50" s="66"/>
      <c r="CV50" s="47" t="e">
        <f t="shared" si="11"/>
        <v>#REF!</v>
      </c>
      <c r="CW50" s="47"/>
      <c r="CY50" s="47" t="e">
        <f>VLOOKUP($AA50,#REF!,6,0)*(+CV50+CW50)</f>
        <v>#REF!</v>
      </c>
      <c r="CZ50" s="47" t="e">
        <f>VLOOKUP($AB50,#REF!,6,0)*(+CV50+CW50)</f>
        <v>#REF!</v>
      </c>
      <c r="DC50" s="47"/>
      <c r="DE50" s="47" t="e">
        <f t="shared" si="41"/>
        <v>#REF!</v>
      </c>
      <c r="DJ50" s="47" t="e">
        <f t="shared" si="42"/>
        <v>#REF!</v>
      </c>
      <c r="DK50" s="66"/>
      <c r="DL50" s="47" t="e">
        <f t="shared" si="14"/>
        <v>#REF!</v>
      </c>
      <c r="DM50" s="47"/>
      <c r="DO50" s="47" t="e">
        <f>VLOOKUP($AA50,#REF!,7,0)*(+DL50+DM50)</f>
        <v>#REF!</v>
      </c>
      <c r="DP50" s="47" t="e">
        <f>VLOOKUP($AB50,#REF!,7,0)*(+DL50+DM50)</f>
        <v>#REF!</v>
      </c>
      <c r="DS50" s="47"/>
      <c r="DU50" s="47" t="e">
        <f t="shared" si="43"/>
        <v>#REF!</v>
      </c>
      <c r="DZ50" s="47" t="e">
        <f t="shared" si="44"/>
        <v>#REF!</v>
      </c>
      <c r="EA50" s="66"/>
    </row>
    <row r="51" spans="1:131" x14ac:dyDescent="0.2">
      <c r="A51" s="38" t="s">
        <v>380</v>
      </c>
      <c r="B51" s="39" t="s">
        <v>159</v>
      </c>
      <c r="C51" s="39" t="s">
        <v>160</v>
      </c>
      <c r="D51" s="39"/>
      <c r="E51" s="40">
        <v>1584927</v>
      </c>
      <c r="F51" s="41"/>
      <c r="G51" s="41"/>
      <c r="H51" s="41"/>
      <c r="I51" s="41"/>
      <c r="J51" s="41"/>
      <c r="K51" s="51"/>
      <c r="L51" s="41"/>
      <c r="M51" s="41"/>
      <c r="N51" s="41"/>
      <c r="O51" s="41"/>
      <c r="P51" s="41"/>
      <c r="Q51" s="41"/>
      <c r="R51" s="41"/>
      <c r="S51" s="41"/>
      <c r="T51" s="42">
        <f t="shared" si="33"/>
        <v>1584927</v>
      </c>
      <c r="U51" s="43"/>
      <c r="V51" s="139">
        <v>1584927</v>
      </c>
      <c r="W51" s="143" t="s">
        <v>368</v>
      </c>
      <c r="X51" s="143">
        <v>11</v>
      </c>
      <c r="Y51" s="171" t="s">
        <v>423</v>
      </c>
      <c r="Z51" s="171" t="s">
        <v>428</v>
      </c>
      <c r="AA51" s="44" t="s">
        <v>282</v>
      </c>
      <c r="AB51" s="187" t="s">
        <v>456</v>
      </c>
      <c r="AC51" s="10"/>
      <c r="AD51" s="13">
        <v>36453.320999999996</v>
      </c>
      <c r="AE51" s="10"/>
      <c r="AF51" s="10"/>
      <c r="AG51" s="45"/>
      <c r="AH51" s="45"/>
      <c r="AI51" s="45"/>
      <c r="AJ51" s="41"/>
      <c r="AK51" s="45"/>
      <c r="AL51" s="45"/>
      <c r="AN51" s="128">
        <v>0</v>
      </c>
      <c r="AO51" s="45"/>
      <c r="AP51" s="46">
        <f t="shared" si="34"/>
        <v>1621380.321</v>
      </c>
      <c r="AQ51" s="47"/>
      <c r="AW51" s="48">
        <f t="shared" si="35"/>
        <v>1621380.321</v>
      </c>
      <c r="AX51" s="66"/>
      <c r="AY51" s="47">
        <f t="shared" si="4"/>
        <v>1621380.321</v>
      </c>
      <c r="AZ51" s="47"/>
      <c r="BB51" s="47" t="e">
        <f>VLOOKUP($AA51,#REF!,3,0)*(+AY51+AZ51)</f>
        <v>#REF!</v>
      </c>
      <c r="BC51" s="47" t="e">
        <f>VLOOKUP($AB51,#REF!,3,0)*(+AY51+AZ51)</f>
        <v>#REF!</v>
      </c>
      <c r="BE51" s="47"/>
      <c r="BF51" s="47"/>
      <c r="BH51" s="47" t="e">
        <f t="shared" si="36"/>
        <v>#REF!</v>
      </c>
      <c r="BM51" s="47" t="e">
        <f t="shared" si="37"/>
        <v>#REF!</v>
      </c>
      <c r="BN51" s="66"/>
      <c r="BO51" s="47" t="e">
        <f t="shared" si="6"/>
        <v>#REF!</v>
      </c>
      <c r="BP51" s="47"/>
      <c r="BR51" s="47" t="e">
        <f>VLOOKUP($AA51,#REF!,4,0)*(+BO51+BP51)</f>
        <v>#REF!</v>
      </c>
      <c r="BS51" s="47" t="e">
        <f>VLOOKUP($AB51,#REF!,4,0)*(+BO51+BP51)</f>
        <v>#REF!</v>
      </c>
      <c r="BV51" s="47"/>
      <c r="BY51" s="47" t="e">
        <f t="shared" si="18"/>
        <v>#REF!</v>
      </c>
      <c r="CD51" s="47" t="e">
        <f t="shared" si="38"/>
        <v>#REF!</v>
      </c>
      <c r="CE51" s="66"/>
      <c r="CF51" s="47" t="e">
        <f t="shared" si="8"/>
        <v>#REF!</v>
      </c>
      <c r="CG51" s="47"/>
      <c r="CI51" s="47" t="e">
        <f>VLOOKUP($AA51,#REF!,5,0)*(+CF51+CG51)</f>
        <v>#REF!</v>
      </c>
      <c r="CJ51" s="47" t="e">
        <f>VLOOKUP($AB51,#REF!,5,0)*(+CF51+CG51)</f>
        <v>#REF!</v>
      </c>
      <c r="CM51" s="47"/>
      <c r="CO51" s="47" t="e">
        <f t="shared" si="39"/>
        <v>#REF!</v>
      </c>
      <c r="CT51" s="47" t="e">
        <f t="shared" si="40"/>
        <v>#REF!</v>
      </c>
      <c r="CU51" s="66"/>
      <c r="CV51" s="47" t="e">
        <f t="shared" si="11"/>
        <v>#REF!</v>
      </c>
      <c r="CW51" s="47"/>
      <c r="CY51" s="47" t="e">
        <f>VLOOKUP($AA51,#REF!,6,0)*(+CV51+CW51)</f>
        <v>#REF!</v>
      </c>
      <c r="CZ51" s="47" t="e">
        <f>VLOOKUP($AB51,#REF!,6,0)*(+CV51+CW51)</f>
        <v>#REF!</v>
      </c>
      <c r="DC51" s="47"/>
      <c r="DE51" s="47" t="e">
        <f t="shared" si="41"/>
        <v>#REF!</v>
      </c>
      <c r="DJ51" s="47" t="e">
        <f t="shared" si="42"/>
        <v>#REF!</v>
      </c>
      <c r="DK51" s="66"/>
      <c r="DL51" s="47" t="e">
        <f t="shared" si="14"/>
        <v>#REF!</v>
      </c>
      <c r="DM51" s="47"/>
      <c r="DO51" s="47" t="e">
        <f>VLOOKUP($AA51,#REF!,7,0)*(+DL51+DM51)</f>
        <v>#REF!</v>
      </c>
      <c r="DP51" s="47" t="e">
        <f>VLOOKUP($AB51,#REF!,7,0)*(+DL51+DM51)</f>
        <v>#REF!</v>
      </c>
      <c r="DS51" s="47"/>
      <c r="DU51" s="47" t="e">
        <f t="shared" si="43"/>
        <v>#REF!</v>
      </c>
      <c r="DZ51" s="47" t="e">
        <f t="shared" si="44"/>
        <v>#REF!</v>
      </c>
      <c r="EA51" s="66"/>
    </row>
    <row r="52" spans="1:131" x14ac:dyDescent="0.2">
      <c r="A52" s="38" t="s">
        <v>380</v>
      </c>
      <c r="B52" s="39" t="s">
        <v>161</v>
      </c>
      <c r="C52" s="39" t="s">
        <v>162</v>
      </c>
      <c r="D52" s="39"/>
      <c r="E52" s="40">
        <v>3422</v>
      </c>
      <c r="F52" s="41"/>
      <c r="G52" s="41"/>
      <c r="H52" s="41"/>
      <c r="I52" s="41"/>
      <c r="J52" s="41"/>
      <c r="K52" s="51"/>
      <c r="L52" s="41"/>
      <c r="M52" s="41"/>
      <c r="N52" s="41"/>
      <c r="O52" s="41"/>
      <c r="P52" s="41"/>
      <c r="Q52" s="41"/>
      <c r="R52" s="41"/>
      <c r="S52" s="41"/>
      <c r="T52" s="42">
        <f t="shared" si="33"/>
        <v>3422</v>
      </c>
      <c r="U52" s="43"/>
      <c r="V52" s="139">
        <v>3422</v>
      </c>
      <c r="W52" s="143" t="s">
        <v>368</v>
      </c>
      <c r="X52" s="143">
        <v>11</v>
      </c>
      <c r="Y52" s="171" t="s">
        <v>423</v>
      </c>
      <c r="Z52" s="171" t="s">
        <v>428</v>
      </c>
      <c r="AA52" s="44" t="s">
        <v>282</v>
      </c>
      <c r="AB52" s="187" t="s">
        <v>456</v>
      </c>
      <c r="AC52" s="10"/>
      <c r="AD52" s="13">
        <v>78.706000000000003</v>
      </c>
      <c r="AE52" s="10"/>
      <c r="AF52" s="10"/>
      <c r="AG52" s="45"/>
      <c r="AH52" s="45"/>
      <c r="AI52" s="45"/>
      <c r="AJ52" s="41"/>
      <c r="AK52" s="45"/>
      <c r="AL52" s="45"/>
      <c r="AN52" s="128">
        <v>0</v>
      </c>
      <c r="AO52" s="45"/>
      <c r="AP52" s="46">
        <f t="shared" si="34"/>
        <v>3500.7060000000001</v>
      </c>
      <c r="AQ52" s="47"/>
      <c r="AW52" s="48">
        <f t="shared" si="35"/>
        <v>3500.7060000000001</v>
      </c>
      <c r="AX52" s="66"/>
      <c r="AY52" s="47">
        <f t="shared" si="4"/>
        <v>3500.7060000000001</v>
      </c>
      <c r="AZ52" s="47"/>
      <c r="BB52" s="47" t="e">
        <f>VLOOKUP($AA52,#REF!,3,0)*(+AY52+AZ52)</f>
        <v>#REF!</v>
      </c>
      <c r="BC52" s="47" t="e">
        <f>VLOOKUP($AB52,#REF!,3,0)*(+AY52+AZ52)</f>
        <v>#REF!</v>
      </c>
      <c r="BE52" s="47"/>
      <c r="BF52" s="47"/>
      <c r="BH52" s="47" t="e">
        <f t="shared" si="36"/>
        <v>#REF!</v>
      </c>
      <c r="BM52" s="47" t="e">
        <f t="shared" si="37"/>
        <v>#REF!</v>
      </c>
      <c r="BN52" s="66"/>
      <c r="BO52" s="47" t="e">
        <f t="shared" si="6"/>
        <v>#REF!</v>
      </c>
      <c r="BP52" s="47"/>
      <c r="BR52" s="47" t="e">
        <f>VLOOKUP($AA52,#REF!,4,0)*(+BO52+BP52)</f>
        <v>#REF!</v>
      </c>
      <c r="BS52" s="47" t="e">
        <f>VLOOKUP($AB52,#REF!,4,0)*(+BO52+BP52)</f>
        <v>#REF!</v>
      </c>
      <c r="BV52" s="47"/>
      <c r="BY52" s="47" t="e">
        <f t="shared" si="18"/>
        <v>#REF!</v>
      </c>
      <c r="CD52" s="47" t="e">
        <f t="shared" si="38"/>
        <v>#REF!</v>
      </c>
      <c r="CE52" s="66"/>
      <c r="CF52" s="47" t="e">
        <f t="shared" si="8"/>
        <v>#REF!</v>
      </c>
      <c r="CG52" s="47"/>
      <c r="CI52" s="47" t="e">
        <f>VLOOKUP($AA52,#REF!,5,0)*(+CF52+CG52)</f>
        <v>#REF!</v>
      </c>
      <c r="CJ52" s="47" t="e">
        <f>VLOOKUP($AB52,#REF!,5,0)*(+CF52+CG52)</f>
        <v>#REF!</v>
      </c>
      <c r="CM52" s="47"/>
      <c r="CO52" s="47" t="e">
        <f t="shared" si="39"/>
        <v>#REF!</v>
      </c>
      <c r="CT52" s="47" t="e">
        <f t="shared" si="40"/>
        <v>#REF!</v>
      </c>
      <c r="CU52" s="66"/>
      <c r="CV52" s="47" t="e">
        <f t="shared" si="11"/>
        <v>#REF!</v>
      </c>
      <c r="CW52" s="47"/>
      <c r="CY52" s="47" t="e">
        <f>VLOOKUP($AA52,#REF!,6,0)*(+CV52+CW52)</f>
        <v>#REF!</v>
      </c>
      <c r="CZ52" s="47" t="e">
        <f>VLOOKUP($AB52,#REF!,6,0)*(+CV52+CW52)</f>
        <v>#REF!</v>
      </c>
      <c r="DC52" s="47"/>
      <c r="DE52" s="47" t="e">
        <f t="shared" si="41"/>
        <v>#REF!</v>
      </c>
      <c r="DJ52" s="47" t="e">
        <f t="shared" si="42"/>
        <v>#REF!</v>
      </c>
      <c r="DK52" s="66"/>
      <c r="DL52" s="47" t="e">
        <f t="shared" si="14"/>
        <v>#REF!</v>
      </c>
      <c r="DM52" s="47"/>
      <c r="DO52" s="47" t="e">
        <f>VLOOKUP($AA52,#REF!,7,0)*(+DL52+DM52)</f>
        <v>#REF!</v>
      </c>
      <c r="DP52" s="47" t="e">
        <f>VLOOKUP($AB52,#REF!,7,0)*(+DL52+DM52)</f>
        <v>#REF!</v>
      </c>
      <c r="DS52" s="47"/>
      <c r="DU52" s="47" t="e">
        <f t="shared" si="43"/>
        <v>#REF!</v>
      </c>
      <c r="DZ52" s="47" t="e">
        <f t="shared" si="44"/>
        <v>#REF!</v>
      </c>
      <c r="EA52" s="66"/>
    </row>
    <row r="53" spans="1:131" x14ac:dyDescent="0.2">
      <c r="A53" s="38" t="s">
        <v>380</v>
      </c>
      <c r="B53" s="39" t="s">
        <v>163</v>
      </c>
      <c r="C53" s="39" t="s">
        <v>164</v>
      </c>
      <c r="D53" s="39"/>
      <c r="E53" s="40">
        <v>3315</v>
      </c>
      <c r="F53" s="41"/>
      <c r="G53" s="41"/>
      <c r="H53" s="41"/>
      <c r="I53" s="41"/>
      <c r="J53" s="41"/>
      <c r="K53" s="51"/>
      <c r="L53" s="41"/>
      <c r="M53" s="41"/>
      <c r="N53" s="41"/>
      <c r="O53" s="41"/>
      <c r="P53" s="41"/>
      <c r="Q53" s="41"/>
      <c r="R53" s="41"/>
      <c r="S53" s="41"/>
      <c r="T53" s="42">
        <f t="shared" si="33"/>
        <v>3315</v>
      </c>
      <c r="U53" s="43"/>
      <c r="V53" s="139">
        <v>3315</v>
      </c>
      <c r="W53" s="143" t="s">
        <v>368</v>
      </c>
      <c r="X53" s="143">
        <v>11</v>
      </c>
      <c r="Y53" s="171" t="s">
        <v>423</v>
      </c>
      <c r="Z53" s="171" t="s">
        <v>428</v>
      </c>
      <c r="AA53" s="44" t="s">
        <v>282</v>
      </c>
      <c r="AB53" s="187" t="s">
        <v>456</v>
      </c>
      <c r="AC53" s="10"/>
      <c r="AD53" s="13">
        <v>76.245000000000005</v>
      </c>
      <c r="AE53" s="10"/>
      <c r="AF53" s="10"/>
      <c r="AG53" s="45"/>
      <c r="AH53" s="45"/>
      <c r="AI53" s="45"/>
      <c r="AJ53" s="41"/>
      <c r="AK53" s="45"/>
      <c r="AL53" s="45"/>
      <c r="AN53" s="128">
        <v>0</v>
      </c>
      <c r="AO53" s="45"/>
      <c r="AP53" s="46">
        <f t="shared" si="34"/>
        <v>3391.2449999999999</v>
      </c>
      <c r="AQ53" s="47"/>
      <c r="AW53" s="48">
        <f t="shared" si="35"/>
        <v>3391.2449999999999</v>
      </c>
      <c r="AX53" s="66"/>
      <c r="AY53" s="47">
        <f t="shared" si="4"/>
        <v>3391.2449999999999</v>
      </c>
      <c r="AZ53" s="47"/>
      <c r="BB53" s="47" t="e">
        <f>VLOOKUP($AA53,#REF!,3,0)*(+AY53+AZ53)</f>
        <v>#REF!</v>
      </c>
      <c r="BC53" s="47" t="e">
        <f>VLOOKUP($AB53,#REF!,3,0)*(+AY53+AZ53)</f>
        <v>#REF!</v>
      </c>
      <c r="BE53" s="47"/>
      <c r="BF53" s="47"/>
      <c r="BH53" s="47" t="e">
        <f t="shared" si="36"/>
        <v>#REF!</v>
      </c>
      <c r="BM53" s="47" t="e">
        <f t="shared" si="37"/>
        <v>#REF!</v>
      </c>
      <c r="BN53" s="66"/>
      <c r="BO53" s="47" t="e">
        <f t="shared" si="6"/>
        <v>#REF!</v>
      </c>
      <c r="BP53" s="47"/>
      <c r="BR53" s="47" t="e">
        <f>VLOOKUP($AA53,#REF!,4,0)*(+BO53+BP53)</f>
        <v>#REF!</v>
      </c>
      <c r="BS53" s="47" t="e">
        <f>VLOOKUP($AB53,#REF!,4,0)*(+BO53+BP53)</f>
        <v>#REF!</v>
      </c>
      <c r="BV53" s="47"/>
      <c r="BY53" s="47" t="e">
        <f t="shared" si="18"/>
        <v>#REF!</v>
      </c>
      <c r="CD53" s="47" t="e">
        <f t="shared" si="38"/>
        <v>#REF!</v>
      </c>
      <c r="CE53" s="66"/>
      <c r="CF53" s="47" t="e">
        <f t="shared" si="8"/>
        <v>#REF!</v>
      </c>
      <c r="CG53" s="47"/>
      <c r="CI53" s="47" t="e">
        <f>VLOOKUP($AA53,#REF!,5,0)*(+CF53+CG53)</f>
        <v>#REF!</v>
      </c>
      <c r="CJ53" s="47" t="e">
        <f>VLOOKUP($AB53,#REF!,5,0)*(+CF53+CG53)</f>
        <v>#REF!</v>
      </c>
      <c r="CM53" s="47"/>
      <c r="CO53" s="47" t="e">
        <f t="shared" si="39"/>
        <v>#REF!</v>
      </c>
      <c r="CT53" s="47" t="e">
        <f t="shared" si="40"/>
        <v>#REF!</v>
      </c>
      <c r="CU53" s="66"/>
      <c r="CV53" s="47" t="e">
        <f t="shared" si="11"/>
        <v>#REF!</v>
      </c>
      <c r="CW53" s="47"/>
      <c r="CY53" s="47" t="e">
        <f>VLOOKUP($AA53,#REF!,6,0)*(+CV53+CW53)</f>
        <v>#REF!</v>
      </c>
      <c r="CZ53" s="47" t="e">
        <f>VLOOKUP($AB53,#REF!,6,0)*(+CV53+CW53)</f>
        <v>#REF!</v>
      </c>
      <c r="DC53" s="47"/>
      <c r="DE53" s="47" t="e">
        <f t="shared" si="41"/>
        <v>#REF!</v>
      </c>
      <c r="DJ53" s="47" t="e">
        <f t="shared" si="42"/>
        <v>#REF!</v>
      </c>
      <c r="DK53" s="66"/>
      <c r="DL53" s="47" t="e">
        <f t="shared" si="14"/>
        <v>#REF!</v>
      </c>
      <c r="DM53" s="47"/>
      <c r="DO53" s="47" t="e">
        <f>VLOOKUP($AA53,#REF!,7,0)*(+DL53+DM53)</f>
        <v>#REF!</v>
      </c>
      <c r="DP53" s="47" t="e">
        <f>VLOOKUP($AB53,#REF!,7,0)*(+DL53+DM53)</f>
        <v>#REF!</v>
      </c>
      <c r="DS53" s="47"/>
      <c r="DU53" s="47" t="e">
        <f t="shared" si="43"/>
        <v>#REF!</v>
      </c>
      <c r="DZ53" s="47" t="e">
        <f t="shared" si="44"/>
        <v>#REF!</v>
      </c>
      <c r="EA53" s="66"/>
    </row>
    <row r="54" spans="1:131" x14ac:dyDescent="0.2">
      <c r="A54" s="38" t="s">
        <v>380</v>
      </c>
      <c r="B54" s="39"/>
      <c r="C54" s="101" t="s">
        <v>314</v>
      </c>
      <c r="D54" s="101"/>
      <c r="E54" s="40"/>
      <c r="F54" s="41"/>
      <c r="G54" s="41"/>
      <c r="H54" s="41">
        <v>-250000</v>
      </c>
      <c r="I54" s="41"/>
      <c r="J54" s="41"/>
      <c r="K54" s="51"/>
      <c r="L54" s="41"/>
      <c r="M54" s="41"/>
      <c r="N54" s="41"/>
      <c r="O54" s="41"/>
      <c r="P54" s="41"/>
      <c r="Q54" s="41"/>
      <c r="R54" s="41"/>
      <c r="S54" s="41">
        <f>(-167503.219512193+22096)+-44192.4390243897</f>
        <v>-189599.65853658269</v>
      </c>
      <c r="T54" s="42">
        <f t="shared" si="33"/>
        <v>-439599.65853658272</v>
      </c>
      <c r="U54" s="43"/>
      <c r="V54" s="138">
        <v>-439599.65853658272</v>
      </c>
      <c r="W54" s="143" t="s">
        <v>368</v>
      </c>
      <c r="X54" s="143">
        <v>11</v>
      </c>
      <c r="Y54" s="171" t="s">
        <v>426</v>
      </c>
      <c r="Z54" s="171" t="s">
        <v>428</v>
      </c>
      <c r="AA54" s="44" t="s">
        <v>282</v>
      </c>
      <c r="AB54" s="187" t="s">
        <v>456</v>
      </c>
      <c r="AC54" s="10">
        <v>164916.73170731589</v>
      </c>
      <c r="AD54" s="13">
        <v>179944.39200000279</v>
      </c>
      <c r="AE54" s="10">
        <v>900000</v>
      </c>
      <c r="AF54" s="144"/>
      <c r="AG54" s="45"/>
      <c r="AH54" s="45"/>
      <c r="AI54" s="45">
        <v>-358410.09365853667</v>
      </c>
      <c r="AJ54" s="41"/>
      <c r="AK54" s="45"/>
      <c r="AL54" s="45"/>
      <c r="AN54" s="128">
        <v>-446851</v>
      </c>
      <c r="AO54" s="45"/>
      <c r="AP54" s="46">
        <f t="shared" si="34"/>
        <v>0.37151219928637147</v>
      </c>
      <c r="AQ54" s="47"/>
      <c r="AW54" s="48">
        <f t="shared" si="35"/>
        <v>0.37151219928637147</v>
      </c>
      <c r="AX54" s="66"/>
      <c r="AY54" s="47">
        <f t="shared" si="4"/>
        <v>-164916.36019511661</v>
      </c>
      <c r="AZ54" s="47">
        <v>164916</v>
      </c>
      <c r="BB54" s="47" t="e">
        <f>VLOOKUP($AA54,#REF!,3,0)*(+AY54+AZ54)</f>
        <v>#REF!</v>
      </c>
      <c r="BC54" s="47" t="e">
        <f>VLOOKUP($AB54,#REF!,3,0)*(+AY54+AZ54)</f>
        <v>#REF!</v>
      </c>
      <c r="BE54" s="47"/>
      <c r="BH54" s="47" t="e">
        <f t="shared" si="36"/>
        <v>#REF!</v>
      </c>
      <c r="BM54" s="47" t="e">
        <f t="shared" si="37"/>
        <v>#REF!</v>
      </c>
      <c r="BN54" s="66"/>
      <c r="BO54" s="47" t="e">
        <f t="shared" si="6"/>
        <v>#REF!</v>
      </c>
      <c r="BP54" s="47"/>
      <c r="BR54" s="47" t="e">
        <f>VLOOKUP($AA54,#REF!,4,0)*(+BO54+BP54)</f>
        <v>#REF!</v>
      </c>
      <c r="BS54" s="47" t="e">
        <f>VLOOKUP($AB54,#REF!,4,0)*(+BO54+BP54)</f>
        <v>#REF!</v>
      </c>
      <c r="BV54" s="47"/>
      <c r="BY54" s="47" t="e">
        <f t="shared" si="18"/>
        <v>#REF!</v>
      </c>
      <c r="CD54" s="47" t="e">
        <f t="shared" si="38"/>
        <v>#REF!</v>
      </c>
      <c r="CE54" s="66"/>
      <c r="CF54" s="47" t="e">
        <f t="shared" si="8"/>
        <v>#REF!</v>
      </c>
      <c r="CG54" s="47"/>
      <c r="CI54" s="47" t="e">
        <f>VLOOKUP($AA54,#REF!,5,0)*(+CF54+CG54)</f>
        <v>#REF!</v>
      </c>
      <c r="CJ54" s="47" t="e">
        <f>VLOOKUP($AB54,#REF!,5,0)*(+CF54+CG54)</f>
        <v>#REF!</v>
      </c>
      <c r="CM54" s="47"/>
      <c r="CO54" s="47" t="e">
        <f t="shared" si="39"/>
        <v>#REF!</v>
      </c>
      <c r="CT54" s="47" t="e">
        <f t="shared" si="40"/>
        <v>#REF!</v>
      </c>
      <c r="CU54" s="66"/>
      <c r="CV54" s="47" t="e">
        <f t="shared" si="11"/>
        <v>#REF!</v>
      </c>
      <c r="CW54" s="47"/>
      <c r="CY54" s="47" t="e">
        <f>VLOOKUP($AA54,#REF!,6,0)*(+CV54+CW54)</f>
        <v>#REF!</v>
      </c>
      <c r="CZ54" s="47" t="e">
        <f>VLOOKUP($AB54,#REF!,6,0)*(+CV54+CW54)</f>
        <v>#REF!</v>
      </c>
      <c r="DC54" s="47"/>
      <c r="DE54" s="47" t="e">
        <f t="shared" si="41"/>
        <v>#REF!</v>
      </c>
      <c r="DJ54" s="47" t="e">
        <f t="shared" si="42"/>
        <v>#REF!</v>
      </c>
      <c r="DK54" s="66"/>
      <c r="DL54" s="47" t="e">
        <f t="shared" si="14"/>
        <v>#REF!</v>
      </c>
      <c r="DM54" s="47"/>
      <c r="DO54" s="47" t="e">
        <f>VLOOKUP($AA54,#REF!,7,0)*(+DL54+DM54)</f>
        <v>#REF!</v>
      </c>
      <c r="DP54" s="47" t="e">
        <f>VLOOKUP($AB54,#REF!,7,0)*(+DL54+DM54)</f>
        <v>#REF!</v>
      </c>
      <c r="DS54" s="47"/>
      <c r="DU54" s="47" t="e">
        <f t="shared" si="43"/>
        <v>#REF!</v>
      </c>
      <c r="DZ54" s="47" t="e">
        <f t="shared" si="44"/>
        <v>#REF!</v>
      </c>
      <c r="EA54" s="66"/>
    </row>
    <row r="55" spans="1:131" x14ac:dyDescent="0.2">
      <c r="B55" s="49" t="s">
        <v>359</v>
      </c>
      <c r="C55" s="100" t="s">
        <v>360</v>
      </c>
      <c r="D55" s="54"/>
      <c r="E55" s="60"/>
      <c r="F55" s="41"/>
      <c r="G55" s="41"/>
      <c r="H55" s="41"/>
      <c r="I55" s="41"/>
      <c r="J55" s="41"/>
      <c r="K55" s="51"/>
      <c r="L55" s="41"/>
      <c r="M55" s="41"/>
      <c r="N55" s="41"/>
      <c r="O55" s="41"/>
      <c r="P55" s="41"/>
      <c r="Q55" s="41"/>
      <c r="R55" s="41"/>
      <c r="S55" s="41"/>
      <c r="T55" s="42"/>
      <c r="U55" s="43"/>
      <c r="V55" s="42">
        <v>0</v>
      </c>
      <c r="W55" s="38" t="s">
        <v>368</v>
      </c>
      <c r="Z55" s="171" t="s">
        <v>428</v>
      </c>
      <c r="AA55" s="44" t="s">
        <v>282</v>
      </c>
      <c r="AB55" s="187" t="s">
        <v>456</v>
      </c>
      <c r="AC55" s="10"/>
      <c r="AD55" s="13"/>
      <c r="AE55" s="10"/>
      <c r="AF55" s="10"/>
      <c r="AG55" s="45"/>
      <c r="AH55" s="45"/>
      <c r="AI55" s="45"/>
      <c r="AJ55" s="41"/>
      <c r="AK55" s="45"/>
      <c r="AL55" s="45"/>
      <c r="AN55" s="128">
        <v>328583</v>
      </c>
      <c r="AO55" s="45"/>
      <c r="AP55" s="46">
        <f t="shared" ref="AP55" si="50">SUM(AC55:AO55)+V55</f>
        <v>328583</v>
      </c>
      <c r="AQ55" s="47"/>
      <c r="AW55" s="48">
        <f t="shared" ref="AW55" si="51">SUM(AP55:AV55)</f>
        <v>328583</v>
      </c>
      <c r="AX55" s="66"/>
      <c r="AY55" s="47">
        <f t="shared" si="4"/>
        <v>328583</v>
      </c>
      <c r="AZ55" s="47">
        <v>-328583</v>
      </c>
      <c r="BB55" s="47" t="e">
        <f>VLOOKUP($AA55,#REF!,3,0)*(+AY55+AZ55)</f>
        <v>#REF!</v>
      </c>
      <c r="BC55" s="47" t="e">
        <f>VLOOKUP($AB55,#REF!,3,0)*(+AY55+AZ55)</f>
        <v>#REF!</v>
      </c>
      <c r="BE55" s="47"/>
      <c r="BF55" s="47"/>
      <c r="BH55" s="47" t="e">
        <f t="shared" si="36"/>
        <v>#REF!</v>
      </c>
      <c r="BM55" s="47" t="e">
        <f t="shared" si="37"/>
        <v>#REF!</v>
      </c>
      <c r="BN55" s="66"/>
      <c r="BO55" s="47" t="e">
        <f t="shared" si="6"/>
        <v>#REF!</v>
      </c>
      <c r="BP55" s="47"/>
      <c r="BR55" s="47" t="e">
        <f>VLOOKUP($AA55,#REF!,4,0)*(+BO55+BP55)</f>
        <v>#REF!</v>
      </c>
      <c r="BS55" s="47" t="e">
        <f>VLOOKUP($AB55,#REF!,4,0)*(+BO55+BP55)</f>
        <v>#REF!</v>
      </c>
      <c r="BV55" s="47"/>
      <c r="BY55" s="47" t="e">
        <f t="shared" si="18"/>
        <v>#REF!</v>
      </c>
      <c r="CD55" s="47" t="e">
        <f t="shared" si="38"/>
        <v>#REF!</v>
      </c>
      <c r="CE55" s="66"/>
      <c r="CF55" s="47" t="e">
        <f t="shared" si="8"/>
        <v>#REF!</v>
      </c>
      <c r="CG55" s="47"/>
      <c r="CI55" s="47" t="e">
        <f>VLOOKUP($AA55,#REF!,5,0)*(+CF55+CG55)</f>
        <v>#REF!</v>
      </c>
      <c r="CJ55" s="47" t="e">
        <f>VLOOKUP($AB55,#REF!,5,0)*(+CF55+CG55)</f>
        <v>#REF!</v>
      </c>
      <c r="CM55" s="47"/>
      <c r="CO55" s="47" t="e">
        <f t="shared" si="39"/>
        <v>#REF!</v>
      </c>
      <c r="CT55" s="47" t="e">
        <f t="shared" si="40"/>
        <v>#REF!</v>
      </c>
      <c r="CU55" s="66"/>
      <c r="CV55" s="47" t="e">
        <f t="shared" si="11"/>
        <v>#REF!</v>
      </c>
      <c r="CW55" s="47"/>
      <c r="CY55" s="47" t="e">
        <f>VLOOKUP($AA55,#REF!,6,0)*(+CV55+CW55)</f>
        <v>#REF!</v>
      </c>
      <c r="CZ55" s="47" t="e">
        <f>VLOOKUP($AB55,#REF!,6,0)*(+CV55+CW55)</f>
        <v>#REF!</v>
      </c>
      <c r="DC55" s="47"/>
      <c r="DE55" s="47" t="e">
        <f t="shared" si="41"/>
        <v>#REF!</v>
      </c>
      <c r="DJ55" s="47" t="e">
        <f t="shared" si="42"/>
        <v>#REF!</v>
      </c>
      <c r="DK55" s="66"/>
      <c r="DL55" s="47" t="e">
        <f t="shared" si="14"/>
        <v>#REF!</v>
      </c>
      <c r="DM55" s="47"/>
      <c r="DO55" s="47" t="e">
        <f>VLOOKUP($AA55,#REF!,7,0)*(+DL55+DM55)</f>
        <v>#REF!</v>
      </c>
      <c r="DP55" s="47" t="e">
        <f>VLOOKUP($AB55,#REF!,7,0)*(+DL55+DM55)</f>
        <v>#REF!</v>
      </c>
      <c r="DS55" s="47"/>
      <c r="DU55" s="47" t="e">
        <f t="shared" si="43"/>
        <v>#REF!</v>
      </c>
      <c r="DZ55" s="47" t="e">
        <f t="shared" si="44"/>
        <v>#REF!</v>
      </c>
      <c r="EA55" s="66"/>
    </row>
    <row r="56" spans="1:131" x14ac:dyDescent="0.2">
      <c r="B56" s="39"/>
      <c r="C56" s="101"/>
      <c r="D56" s="101"/>
      <c r="E56" s="40"/>
      <c r="F56" s="41"/>
      <c r="G56" s="41"/>
      <c r="H56" s="41"/>
      <c r="I56" s="41"/>
      <c r="J56" s="41"/>
      <c r="K56" s="51"/>
      <c r="L56" s="41"/>
      <c r="M56" s="41"/>
      <c r="N56" s="41"/>
      <c r="O56" s="41"/>
      <c r="P56" s="41"/>
      <c r="Q56" s="41"/>
      <c r="R56" s="41"/>
      <c r="S56" s="41"/>
      <c r="T56" s="42"/>
      <c r="U56" s="43"/>
      <c r="V56" s="138"/>
      <c r="W56" s="143"/>
      <c r="X56" s="143"/>
      <c r="Y56" s="171"/>
      <c r="Z56" s="171"/>
      <c r="AA56" s="44"/>
      <c r="AB56" s="44"/>
      <c r="AC56" s="10"/>
      <c r="AD56" s="13"/>
      <c r="AE56" s="10"/>
      <c r="AF56" s="144"/>
      <c r="AG56" s="45"/>
      <c r="AH56" s="45"/>
      <c r="AI56" s="45"/>
      <c r="AJ56" s="41"/>
      <c r="AK56" s="45"/>
      <c r="AL56" s="45"/>
      <c r="AN56" s="128"/>
      <c r="AO56" s="45"/>
      <c r="AP56" s="46"/>
      <c r="AQ56" s="47"/>
      <c r="AW56" s="48"/>
      <c r="AX56" s="66"/>
      <c r="AY56" s="47"/>
      <c r="AZ56" s="47"/>
      <c r="BB56" s="47"/>
      <c r="BE56" s="47"/>
      <c r="BH56" s="47"/>
      <c r="BM56" s="47"/>
      <c r="BN56" s="66"/>
      <c r="BO56" s="47"/>
      <c r="BP56" s="47"/>
      <c r="BR56" s="35"/>
      <c r="BV56" s="47"/>
      <c r="BY56" s="47"/>
      <c r="CD56" s="47"/>
      <c r="CE56" s="66"/>
      <c r="CF56" s="47"/>
      <c r="CG56" s="47"/>
      <c r="CI56" s="35"/>
      <c r="CM56" s="47"/>
      <c r="CO56" s="47"/>
      <c r="CT56" s="47"/>
      <c r="CU56" s="66"/>
      <c r="CV56" s="47"/>
      <c r="CW56" s="47"/>
      <c r="CY56" s="35"/>
      <c r="DC56" s="47"/>
      <c r="DE56" s="47"/>
      <c r="DJ56" s="47"/>
      <c r="DK56" s="66"/>
      <c r="DL56" s="47"/>
      <c r="DM56" s="47"/>
      <c r="DO56" s="35"/>
      <c r="DS56" s="47"/>
      <c r="DU56" s="47"/>
      <c r="DZ56" s="47"/>
      <c r="EA56" s="66"/>
    </row>
    <row r="57" spans="1:131" ht="25.5" x14ac:dyDescent="0.2">
      <c r="A57" s="38" t="s">
        <v>375</v>
      </c>
      <c r="B57" s="39" t="s">
        <v>77</v>
      </c>
      <c r="C57" s="39" t="s">
        <v>78</v>
      </c>
      <c r="D57" s="49" t="s">
        <v>332</v>
      </c>
      <c r="E57" s="40">
        <v>20430485</v>
      </c>
      <c r="F57" s="41">
        <v>54633</v>
      </c>
      <c r="G57" s="41"/>
      <c r="H57" s="41"/>
      <c r="I57" s="41"/>
      <c r="J57" s="41"/>
      <c r="K57" s="51"/>
      <c r="L57" s="41"/>
      <c r="M57" s="41"/>
      <c r="N57" s="41"/>
      <c r="O57" s="41"/>
      <c r="P57" s="41"/>
      <c r="Q57" s="41"/>
      <c r="R57" s="41"/>
      <c r="S57" s="41">
        <f t="shared" ref="S57:S62" si="52">SUM(E57:P57)/1.025*-0.025</f>
        <v>-499637.02439024393</v>
      </c>
      <c r="T57" s="42">
        <f t="shared" si="33"/>
        <v>19985480.975609757</v>
      </c>
      <c r="U57" s="43"/>
      <c r="V57" s="141">
        <v>19985480.975609757</v>
      </c>
      <c r="W57" s="143" t="s">
        <v>368</v>
      </c>
      <c r="X57" s="143">
        <v>7</v>
      </c>
      <c r="Y57" s="172" t="s">
        <v>424</v>
      </c>
      <c r="Z57" s="171" t="s">
        <v>441</v>
      </c>
      <c r="AA57" s="247" t="s">
        <v>533</v>
      </c>
      <c r="AB57" s="187" t="s">
        <v>458</v>
      </c>
      <c r="AC57" s="10">
        <f t="shared" ref="AC57:AC62" si="53">+T57*0.025</f>
        <v>499637.02439024393</v>
      </c>
      <c r="AD57" s="13">
        <v>471157.71399999998</v>
      </c>
      <c r="AE57" s="10"/>
      <c r="AF57" s="10"/>
      <c r="AG57" s="45"/>
      <c r="AH57" s="45"/>
      <c r="AI57" s="45">
        <f t="shared" ref="AI57:AI64" si="54">-T57*0.04</f>
        <v>-799419.23902439035</v>
      </c>
      <c r="AJ57" s="41"/>
      <c r="AK57" s="45"/>
      <c r="AL57" s="45"/>
      <c r="AN57" s="128">
        <v>-185775</v>
      </c>
      <c r="AO57" s="45"/>
      <c r="AP57" s="46">
        <f t="shared" si="34"/>
        <v>19971081.474975612</v>
      </c>
      <c r="AQ57" s="47"/>
      <c r="AT57" s="54"/>
      <c r="AU57" s="54"/>
      <c r="AW57" s="48">
        <f t="shared" si="35"/>
        <v>19971081.474975612</v>
      </c>
      <c r="AX57" s="66"/>
      <c r="AY57" s="47">
        <f t="shared" si="4"/>
        <v>19471444.450585369</v>
      </c>
      <c r="AZ57" s="47"/>
      <c r="BA57" s="47">
        <f t="shared" ref="BA57:BA62" si="55">+((AY57+AZ57)*0.025)*0.85</f>
        <v>413768.19457493909</v>
      </c>
      <c r="BB57" s="47" t="e">
        <f>VLOOKUP($AA57,#REF!,3,0)*(+AY57+AZ57)</f>
        <v>#REF!</v>
      </c>
      <c r="BC57" s="47" t="e">
        <f>VLOOKUP($AB57,#REF!,3,0)*(+AY57+AZ57)</f>
        <v>#REF!</v>
      </c>
      <c r="BE57" s="47"/>
      <c r="BF57" s="47"/>
      <c r="BH57" s="47" t="e">
        <f t="shared" si="36"/>
        <v>#REF!</v>
      </c>
      <c r="BM57" s="47" t="e">
        <f t="shared" si="37"/>
        <v>#REF!</v>
      </c>
      <c r="BN57" s="66"/>
      <c r="BO57" s="47" t="e">
        <f t="shared" si="6"/>
        <v>#REF!</v>
      </c>
      <c r="BP57" s="47"/>
      <c r="BQ57" s="47" t="e">
        <f t="shared" ref="BQ57:BQ62" si="56">+((BO57+BP57)*0.025)*0.85</f>
        <v>#REF!</v>
      </c>
      <c r="BR57" s="47" t="e">
        <f>VLOOKUP($AA57,#REF!,4,0)*(+BO57+BP57)</f>
        <v>#REF!</v>
      </c>
      <c r="BS57" s="47" t="e">
        <f>VLOOKUP($AB57,#REF!,4,0)*(+BO57+BP57)</f>
        <v>#REF!</v>
      </c>
      <c r="BV57" s="47"/>
      <c r="BX57" s="47"/>
      <c r="BY57" s="47" t="e">
        <f t="shared" si="18"/>
        <v>#REF!</v>
      </c>
      <c r="CD57" s="47" t="e">
        <f t="shared" si="38"/>
        <v>#REF!</v>
      </c>
      <c r="CE57" s="66"/>
      <c r="CF57" s="47" t="e">
        <f t="shared" si="8"/>
        <v>#REF!</v>
      </c>
      <c r="CG57" s="47"/>
      <c r="CH57" s="47" t="e">
        <f t="shared" ref="CH57:CH62" si="57">+((CF57+CG57)*0.025)*0.85</f>
        <v>#REF!</v>
      </c>
      <c r="CI57" s="47" t="e">
        <f>VLOOKUP($AA57,#REF!,5,0)*(+CF57+CG57)</f>
        <v>#REF!</v>
      </c>
      <c r="CJ57" s="47" t="e">
        <f>VLOOKUP($AB57,#REF!,5,0)*(+CF57+CG57)</f>
        <v>#REF!</v>
      </c>
      <c r="CM57" s="47"/>
      <c r="CN57" s="47"/>
      <c r="CO57" s="47" t="e">
        <f t="shared" si="39"/>
        <v>#REF!</v>
      </c>
      <c r="CT57" s="47" t="e">
        <f t="shared" si="40"/>
        <v>#REF!</v>
      </c>
      <c r="CU57" s="66"/>
      <c r="CV57" s="47" t="e">
        <f t="shared" si="11"/>
        <v>#REF!</v>
      </c>
      <c r="CW57" s="47"/>
      <c r="CX57" s="47" t="e">
        <f t="shared" ref="CX57:CX62" si="58">+((CV57+CW57)*0.025)*0.85</f>
        <v>#REF!</v>
      </c>
      <c r="CY57" s="47" t="e">
        <f>VLOOKUP($AA57,#REF!,6,0)*(+CV57+CW57)</f>
        <v>#REF!</v>
      </c>
      <c r="CZ57" s="47" t="e">
        <f>VLOOKUP($AB57,#REF!,6,0)*(+CV57+CW57)</f>
        <v>#REF!</v>
      </c>
      <c r="DC57" s="47"/>
      <c r="DE57" s="47" t="e">
        <f t="shared" si="41"/>
        <v>#REF!</v>
      </c>
      <c r="DJ57" s="47" t="e">
        <f t="shared" si="42"/>
        <v>#REF!</v>
      </c>
      <c r="DK57" s="66"/>
      <c r="DL57" s="47" t="e">
        <f t="shared" ref="DL57:DL123" si="59">+DE57-CX57</f>
        <v>#REF!</v>
      </c>
      <c r="DM57" s="47"/>
      <c r="DN57" s="47" t="e">
        <f t="shared" ref="DN57:DN62" si="60">+((DL57+DM57)*0.025)*0.85</f>
        <v>#REF!</v>
      </c>
      <c r="DO57" s="47" t="e">
        <f>VLOOKUP($AA57,#REF!,7,0)*(+DL57+DM57)</f>
        <v>#REF!</v>
      </c>
      <c r="DP57" s="47" t="e">
        <f>VLOOKUP($AB57,#REF!,7,0)*(+DL57+DM57)</f>
        <v>#REF!</v>
      </c>
      <c r="DS57" s="47"/>
      <c r="DU57" s="47" t="e">
        <f t="shared" ref="DU57:DU123" si="61">SUM(DL57:DT57)</f>
        <v>#REF!</v>
      </c>
      <c r="DZ57" s="47" t="e">
        <f t="shared" ref="DZ57:DZ123" si="62">SUM(DU57:DY57)</f>
        <v>#REF!</v>
      </c>
      <c r="EA57" s="66"/>
    </row>
    <row r="58" spans="1:131" ht="25.5" x14ac:dyDescent="0.2">
      <c r="A58" s="38" t="s">
        <v>376</v>
      </c>
      <c r="B58" s="39" t="s">
        <v>79</v>
      </c>
      <c r="C58" s="39" t="s">
        <v>345</v>
      </c>
      <c r="D58" s="39"/>
      <c r="E58" s="40"/>
      <c r="F58" s="41">
        <v>12143</v>
      </c>
      <c r="G58" s="41"/>
      <c r="H58" s="41"/>
      <c r="I58" s="41"/>
      <c r="J58" s="41"/>
      <c r="K58" s="51"/>
      <c r="L58" s="41"/>
      <c r="M58" s="41"/>
      <c r="N58" s="41"/>
      <c r="O58" s="41"/>
      <c r="P58" s="41"/>
      <c r="Q58" s="41"/>
      <c r="R58" s="41"/>
      <c r="S58" s="41">
        <f t="shared" si="52"/>
        <v>-296.17073170731709</v>
      </c>
      <c r="T58" s="42">
        <f t="shared" si="33"/>
        <v>11846.829268292682</v>
      </c>
      <c r="U58" s="43"/>
      <c r="V58" s="141">
        <v>11846.829268292682</v>
      </c>
      <c r="W58" s="143" t="s">
        <v>368</v>
      </c>
      <c r="X58" s="143">
        <v>8</v>
      </c>
      <c r="Y58" s="171" t="s">
        <v>423</v>
      </c>
      <c r="Z58" s="171" t="s">
        <v>441</v>
      </c>
      <c r="AA58" s="247" t="s">
        <v>533</v>
      </c>
      <c r="AB58" s="187" t="s">
        <v>458</v>
      </c>
      <c r="AC58" s="10">
        <f t="shared" si="53"/>
        <v>296.17073170731709</v>
      </c>
      <c r="AD58" s="13">
        <v>279.28899999999999</v>
      </c>
      <c r="AE58" s="10"/>
      <c r="AF58" s="10"/>
      <c r="AG58" s="45"/>
      <c r="AH58" s="45"/>
      <c r="AI58" s="45">
        <f t="shared" si="54"/>
        <v>-473.87317073170732</v>
      </c>
      <c r="AJ58" s="41"/>
      <c r="AK58" s="45"/>
      <c r="AL58" s="45"/>
      <c r="AN58" s="128">
        <v>37</v>
      </c>
      <c r="AO58" s="45"/>
      <c r="AP58" s="46">
        <f t="shared" si="34"/>
        <v>11985.415829268291</v>
      </c>
      <c r="AQ58" s="47"/>
      <c r="AW58" s="48">
        <f t="shared" si="35"/>
        <v>11985.415829268291</v>
      </c>
      <c r="AX58" s="66"/>
      <c r="AY58" s="47">
        <f t="shared" si="4"/>
        <v>11689.245097560974</v>
      </c>
      <c r="AZ58" s="47"/>
      <c r="BA58" s="47">
        <f t="shared" si="55"/>
        <v>248.39645832317069</v>
      </c>
      <c r="BB58" s="47" t="e">
        <f>VLOOKUP($AA58,#REF!,3,0)*(+AY58+AZ58)</f>
        <v>#REF!</v>
      </c>
      <c r="BC58" s="47" t="e">
        <f>VLOOKUP($AB58,#REF!,3,0)*(+AY58+AZ58)</f>
        <v>#REF!</v>
      </c>
      <c r="BE58" s="47"/>
      <c r="BF58" s="47"/>
      <c r="BH58" s="47" t="e">
        <f t="shared" si="36"/>
        <v>#REF!</v>
      </c>
      <c r="BM58" s="47" t="e">
        <f t="shared" si="37"/>
        <v>#REF!</v>
      </c>
      <c r="BN58" s="66"/>
      <c r="BO58" s="47" t="e">
        <f t="shared" si="6"/>
        <v>#REF!</v>
      </c>
      <c r="BP58" s="47"/>
      <c r="BQ58" s="47" t="e">
        <f t="shared" si="56"/>
        <v>#REF!</v>
      </c>
      <c r="BR58" s="47" t="e">
        <f>VLOOKUP($AA58,#REF!,4,0)*(+BO58+BP58)</f>
        <v>#REF!</v>
      </c>
      <c r="BS58" s="47" t="e">
        <f>VLOOKUP($AB58,#REF!,4,0)*(+BO58+BP58)</f>
        <v>#REF!</v>
      </c>
      <c r="BV58" s="47"/>
      <c r="BX58" s="47"/>
      <c r="BY58" s="47" t="e">
        <f t="shared" si="18"/>
        <v>#REF!</v>
      </c>
      <c r="CD58" s="47" t="e">
        <f t="shared" si="38"/>
        <v>#REF!</v>
      </c>
      <c r="CE58" s="66"/>
      <c r="CF58" s="47" t="e">
        <f t="shared" si="8"/>
        <v>#REF!</v>
      </c>
      <c r="CG58" s="47"/>
      <c r="CH58" s="47" t="e">
        <f t="shared" si="57"/>
        <v>#REF!</v>
      </c>
      <c r="CI58" s="47" t="e">
        <f>VLOOKUP($AA58,#REF!,5,0)*(+CF58+CG58)</f>
        <v>#REF!</v>
      </c>
      <c r="CJ58" s="47" t="e">
        <f>VLOOKUP($AB58,#REF!,5,0)*(+CF58+CG58)</f>
        <v>#REF!</v>
      </c>
      <c r="CM58" s="47"/>
      <c r="CO58" s="47" t="e">
        <f t="shared" si="39"/>
        <v>#REF!</v>
      </c>
      <c r="CT58" s="47" t="e">
        <f t="shared" si="40"/>
        <v>#REF!</v>
      </c>
      <c r="CU58" s="66"/>
      <c r="CV58" s="47" t="e">
        <f t="shared" si="11"/>
        <v>#REF!</v>
      </c>
      <c r="CW58" s="47"/>
      <c r="CX58" s="47" t="e">
        <f t="shared" si="58"/>
        <v>#REF!</v>
      </c>
      <c r="CY58" s="47" t="e">
        <f>VLOOKUP($AA58,#REF!,6,0)*(+CV58+CW58)</f>
        <v>#REF!</v>
      </c>
      <c r="CZ58" s="47" t="e">
        <f>VLOOKUP($AB58,#REF!,6,0)*(+CV58+CW58)</f>
        <v>#REF!</v>
      </c>
      <c r="DC58" s="47"/>
      <c r="DE58" s="47" t="e">
        <f t="shared" si="41"/>
        <v>#REF!</v>
      </c>
      <c r="DJ58" s="47" t="e">
        <f t="shared" si="42"/>
        <v>#REF!</v>
      </c>
      <c r="DK58" s="66"/>
      <c r="DL58" s="47" t="e">
        <f t="shared" si="59"/>
        <v>#REF!</v>
      </c>
      <c r="DM58" s="47"/>
      <c r="DN58" s="47" t="e">
        <f t="shared" si="60"/>
        <v>#REF!</v>
      </c>
      <c r="DO58" s="47" t="e">
        <f>VLOOKUP($AA58,#REF!,7,0)*(+DL58+DM58)</f>
        <v>#REF!</v>
      </c>
      <c r="DP58" s="47" t="e">
        <f>VLOOKUP($AB58,#REF!,7,0)*(+DL58+DM58)</f>
        <v>#REF!</v>
      </c>
      <c r="DS58" s="47"/>
      <c r="DU58" s="47" t="e">
        <f t="shared" si="61"/>
        <v>#REF!</v>
      </c>
      <c r="DZ58" s="47" t="e">
        <f t="shared" si="62"/>
        <v>#REF!</v>
      </c>
      <c r="EA58" s="66"/>
    </row>
    <row r="59" spans="1:131" ht="25.5" x14ac:dyDescent="0.2">
      <c r="A59" s="38" t="s">
        <v>376</v>
      </c>
      <c r="B59" s="39" t="s">
        <v>79</v>
      </c>
      <c r="C59" s="39" t="s">
        <v>343</v>
      </c>
      <c r="D59" s="39"/>
      <c r="E59" s="40">
        <v>66740</v>
      </c>
      <c r="F59" s="41">
        <v>-27678</v>
      </c>
      <c r="G59" s="41"/>
      <c r="H59" s="41"/>
      <c r="I59" s="41"/>
      <c r="J59" s="41"/>
      <c r="K59" s="51"/>
      <c r="L59" s="41"/>
      <c r="M59" s="41"/>
      <c r="N59" s="41"/>
      <c r="O59" s="41"/>
      <c r="P59" s="41"/>
      <c r="Q59" s="41"/>
      <c r="R59" s="41"/>
      <c r="S59" s="41">
        <f t="shared" si="52"/>
        <v>-952.7317073170733</v>
      </c>
      <c r="T59" s="42">
        <f t="shared" si="33"/>
        <v>38109.268292682929</v>
      </c>
      <c r="U59" s="43"/>
      <c r="V59" s="141">
        <v>38109.268292682929</v>
      </c>
      <c r="W59" s="143" t="s">
        <v>368</v>
      </c>
      <c r="X59" s="143">
        <v>8</v>
      </c>
      <c r="Y59" s="171" t="s">
        <v>423</v>
      </c>
      <c r="Z59" s="171" t="s">
        <v>441</v>
      </c>
      <c r="AA59" s="247" t="s">
        <v>533</v>
      </c>
      <c r="AB59" s="187" t="s">
        <v>458</v>
      </c>
      <c r="AC59" s="10">
        <f t="shared" si="53"/>
        <v>952.7317073170733</v>
      </c>
      <c r="AD59" s="13">
        <v>898.42599999999993</v>
      </c>
      <c r="AE59" s="10"/>
      <c r="AF59" s="10"/>
      <c r="AG59" s="45"/>
      <c r="AH59" s="45"/>
      <c r="AI59" s="45">
        <f t="shared" si="54"/>
        <v>-1524.3707317073172</v>
      </c>
      <c r="AJ59" s="41"/>
      <c r="AK59" s="45"/>
      <c r="AL59" s="45"/>
      <c r="AN59" s="128">
        <v>0</v>
      </c>
      <c r="AO59" s="45"/>
      <c r="AP59" s="46">
        <f t="shared" si="34"/>
        <v>38436.055268292686</v>
      </c>
      <c r="AQ59" s="47"/>
      <c r="AW59" s="48">
        <f t="shared" si="35"/>
        <v>38436.055268292686</v>
      </c>
      <c r="AX59" s="66"/>
      <c r="AY59" s="47">
        <f t="shared" si="4"/>
        <v>37483.323560975616</v>
      </c>
      <c r="AZ59" s="47"/>
      <c r="BA59" s="47">
        <f t="shared" si="55"/>
        <v>796.52062567073187</v>
      </c>
      <c r="BB59" s="47" t="e">
        <f>VLOOKUP($AA59,#REF!,3,0)*(+AY59+AZ59)</f>
        <v>#REF!</v>
      </c>
      <c r="BC59" s="47" t="e">
        <f>VLOOKUP($AB59,#REF!,3,0)*(+AY59+AZ59)</f>
        <v>#REF!</v>
      </c>
      <c r="BE59" s="47"/>
      <c r="BF59" s="47"/>
      <c r="BH59" s="47" t="e">
        <f t="shared" si="36"/>
        <v>#REF!</v>
      </c>
      <c r="BM59" s="47" t="e">
        <f t="shared" si="37"/>
        <v>#REF!</v>
      </c>
      <c r="BN59" s="66"/>
      <c r="BO59" s="47" t="e">
        <f t="shared" si="6"/>
        <v>#REF!</v>
      </c>
      <c r="BP59" s="47"/>
      <c r="BQ59" s="47" t="e">
        <f t="shared" si="56"/>
        <v>#REF!</v>
      </c>
      <c r="BR59" s="47" t="e">
        <f>VLOOKUP($AA59,#REF!,4,0)*(+BO59+BP59)</f>
        <v>#REF!</v>
      </c>
      <c r="BS59" s="47" t="e">
        <f>VLOOKUP($AB59,#REF!,4,0)*(+BO59+BP59)</f>
        <v>#REF!</v>
      </c>
      <c r="BV59" s="47"/>
      <c r="BX59" s="47"/>
      <c r="BY59" s="47" t="e">
        <f t="shared" si="18"/>
        <v>#REF!</v>
      </c>
      <c r="CD59" s="47" t="e">
        <f t="shared" si="38"/>
        <v>#REF!</v>
      </c>
      <c r="CE59" s="66"/>
      <c r="CF59" s="47" t="e">
        <f t="shared" si="8"/>
        <v>#REF!</v>
      </c>
      <c r="CG59" s="47"/>
      <c r="CH59" s="47" t="e">
        <f t="shared" si="57"/>
        <v>#REF!</v>
      </c>
      <c r="CI59" s="47" t="e">
        <f>VLOOKUP($AA59,#REF!,5,0)*(+CF59+CG59)</f>
        <v>#REF!</v>
      </c>
      <c r="CJ59" s="47" t="e">
        <f>VLOOKUP($AB59,#REF!,5,0)*(+CF59+CG59)</f>
        <v>#REF!</v>
      </c>
      <c r="CM59" s="47"/>
      <c r="CO59" s="47" t="e">
        <f t="shared" si="39"/>
        <v>#REF!</v>
      </c>
      <c r="CT59" s="47" t="e">
        <f t="shared" si="40"/>
        <v>#REF!</v>
      </c>
      <c r="CU59" s="66"/>
      <c r="CV59" s="47" t="e">
        <f t="shared" si="11"/>
        <v>#REF!</v>
      </c>
      <c r="CW59" s="47"/>
      <c r="CX59" s="47" t="e">
        <f t="shared" si="58"/>
        <v>#REF!</v>
      </c>
      <c r="CY59" s="47" t="e">
        <f>VLOOKUP($AA59,#REF!,6,0)*(+CV59+CW59)</f>
        <v>#REF!</v>
      </c>
      <c r="CZ59" s="47" t="e">
        <f>VLOOKUP($AB59,#REF!,6,0)*(+CV59+CW59)</f>
        <v>#REF!</v>
      </c>
      <c r="DC59" s="47"/>
      <c r="DE59" s="47" t="e">
        <f t="shared" si="41"/>
        <v>#REF!</v>
      </c>
      <c r="DJ59" s="47" t="e">
        <f t="shared" si="42"/>
        <v>#REF!</v>
      </c>
      <c r="DK59" s="66"/>
      <c r="DL59" s="47" t="e">
        <f t="shared" si="59"/>
        <v>#REF!</v>
      </c>
      <c r="DM59" s="47"/>
      <c r="DN59" s="47" t="e">
        <f t="shared" si="60"/>
        <v>#REF!</v>
      </c>
      <c r="DO59" s="47" t="e">
        <f>VLOOKUP($AA59,#REF!,7,0)*(+DL59+DM59)</f>
        <v>#REF!</v>
      </c>
      <c r="DP59" s="47" t="e">
        <f>VLOOKUP($AB59,#REF!,7,0)*(+DL59+DM59)</f>
        <v>#REF!</v>
      </c>
      <c r="DS59" s="47"/>
      <c r="DU59" s="47" t="e">
        <f t="shared" si="61"/>
        <v>#REF!</v>
      </c>
      <c r="DZ59" s="47" t="e">
        <f t="shared" si="62"/>
        <v>#REF!</v>
      </c>
      <c r="EA59" s="66"/>
    </row>
    <row r="60" spans="1:131" ht="25.5" x14ac:dyDescent="0.2">
      <c r="A60" s="38" t="s">
        <v>376</v>
      </c>
      <c r="B60" s="39" t="s">
        <v>79</v>
      </c>
      <c r="C60" s="39" t="s">
        <v>344</v>
      </c>
      <c r="D60" s="39"/>
      <c r="E60" s="40"/>
      <c r="F60" s="41">
        <v>14374</v>
      </c>
      <c r="G60" s="41"/>
      <c r="H60" s="41"/>
      <c r="I60" s="41"/>
      <c r="J60" s="41"/>
      <c r="K60" s="51"/>
      <c r="L60" s="41"/>
      <c r="M60" s="41"/>
      <c r="N60" s="41"/>
      <c r="O60" s="41"/>
      <c r="P60" s="41"/>
      <c r="Q60" s="41"/>
      <c r="R60" s="41"/>
      <c r="S60" s="41">
        <f t="shared" si="52"/>
        <v>-350.58536585365857</v>
      </c>
      <c r="T60" s="42">
        <f t="shared" si="33"/>
        <v>14023.414634146342</v>
      </c>
      <c r="U60" s="43"/>
      <c r="V60" s="141">
        <v>14023.414634146342</v>
      </c>
      <c r="W60" s="143" t="s">
        <v>368</v>
      </c>
      <c r="X60" s="143">
        <v>8</v>
      </c>
      <c r="Y60" s="171" t="s">
        <v>423</v>
      </c>
      <c r="Z60" s="171" t="s">
        <v>441</v>
      </c>
      <c r="AA60" s="247" t="s">
        <v>533</v>
      </c>
      <c r="AB60" s="187" t="s">
        <v>458</v>
      </c>
      <c r="AC60" s="10">
        <f t="shared" si="53"/>
        <v>350.58536585365857</v>
      </c>
      <c r="AD60" s="13">
        <v>330.60199999999998</v>
      </c>
      <c r="AE60" s="10"/>
      <c r="AF60" s="10"/>
      <c r="AG60" s="45"/>
      <c r="AH60" s="45"/>
      <c r="AI60" s="45">
        <f t="shared" si="54"/>
        <v>-560.93658536585372</v>
      </c>
      <c r="AJ60" s="41"/>
      <c r="AK60" s="45"/>
      <c r="AL60" s="45"/>
      <c r="AN60" s="128">
        <v>0</v>
      </c>
      <c r="AO60" s="45"/>
      <c r="AP60" s="46">
        <f t="shared" si="34"/>
        <v>14143.665414634146</v>
      </c>
      <c r="AQ60" s="47"/>
      <c r="AW60" s="48">
        <f t="shared" si="35"/>
        <v>14143.665414634146</v>
      </c>
      <c r="AX60" s="66"/>
      <c r="AY60" s="47">
        <f t="shared" si="4"/>
        <v>13793.080048780488</v>
      </c>
      <c r="AZ60" s="47"/>
      <c r="BA60" s="47">
        <f t="shared" si="55"/>
        <v>293.10295103658541</v>
      </c>
      <c r="BB60" s="47" t="e">
        <f>VLOOKUP($AA60,#REF!,3,0)*(+AY60+AZ60)</f>
        <v>#REF!</v>
      </c>
      <c r="BC60" s="47" t="e">
        <f>VLOOKUP($AB60,#REF!,3,0)*(+AY60+AZ60)</f>
        <v>#REF!</v>
      </c>
      <c r="BE60" s="47"/>
      <c r="BF60" s="47"/>
      <c r="BH60" s="47" t="e">
        <f t="shared" si="36"/>
        <v>#REF!</v>
      </c>
      <c r="BM60" s="47" t="e">
        <f t="shared" si="37"/>
        <v>#REF!</v>
      </c>
      <c r="BN60" s="66"/>
      <c r="BO60" s="47" t="e">
        <f t="shared" si="6"/>
        <v>#REF!</v>
      </c>
      <c r="BP60" s="47"/>
      <c r="BQ60" s="47" t="e">
        <f t="shared" si="56"/>
        <v>#REF!</v>
      </c>
      <c r="BR60" s="47" t="e">
        <f>VLOOKUP($AA60,#REF!,4,0)*(+BO60+BP60)</f>
        <v>#REF!</v>
      </c>
      <c r="BS60" s="47" t="e">
        <f>VLOOKUP($AB60,#REF!,4,0)*(+BO60+BP60)</f>
        <v>#REF!</v>
      </c>
      <c r="BV60" s="47"/>
      <c r="BX60" s="47"/>
      <c r="BY60" s="47" t="e">
        <f t="shared" si="18"/>
        <v>#REF!</v>
      </c>
      <c r="CD60" s="47" t="e">
        <f t="shared" si="38"/>
        <v>#REF!</v>
      </c>
      <c r="CE60" s="66"/>
      <c r="CF60" s="47" t="e">
        <f t="shared" si="8"/>
        <v>#REF!</v>
      </c>
      <c r="CG60" s="47"/>
      <c r="CH60" s="47" t="e">
        <f t="shared" si="57"/>
        <v>#REF!</v>
      </c>
      <c r="CI60" s="47" t="e">
        <f>VLOOKUP($AA60,#REF!,5,0)*(+CF60+CG60)</f>
        <v>#REF!</v>
      </c>
      <c r="CJ60" s="47" t="e">
        <f>VLOOKUP($AB60,#REF!,5,0)*(+CF60+CG60)</f>
        <v>#REF!</v>
      </c>
      <c r="CM60" s="47"/>
      <c r="CO60" s="47" t="e">
        <f t="shared" si="39"/>
        <v>#REF!</v>
      </c>
      <c r="CT60" s="47" t="e">
        <f t="shared" si="40"/>
        <v>#REF!</v>
      </c>
      <c r="CU60" s="66"/>
      <c r="CV60" s="47" t="e">
        <f t="shared" si="11"/>
        <v>#REF!</v>
      </c>
      <c r="CW60" s="47"/>
      <c r="CX60" s="47" t="e">
        <f t="shared" si="58"/>
        <v>#REF!</v>
      </c>
      <c r="CY60" s="47" t="e">
        <f>VLOOKUP($AA60,#REF!,6,0)*(+CV60+CW60)</f>
        <v>#REF!</v>
      </c>
      <c r="CZ60" s="47" t="e">
        <f>VLOOKUP($AB60,#REF!,6,0)*(+CV60+CW60)</f>
        <v>#REF!</v>
      </c>
      <c r="DC60" s="47"/>
      <c r="DE60" s="47" t="e">
        <f t="shared" si="41"/>
        <v>#REF!</v>
      </c>
      <c r="DJ60" s="47" t="e">
        <f t="shared" si="42"/>
        <v>#REF!</v>
      </c>
      <c r="DK60" s="66"/>
      <c r="DL60" s="47" t="e">
        <f t="shared" si="59"/>
        <v>#REF!</v>
      </c>
      <c r="DM60" s="47"/>
      <c r="DN60" s="47" t="e">
        <f t="shared" si="60"/>
        <v>#REF!</v>
      </c>
      <c r="DO60" s="47" t="e">
        <f>VLOOKUP($AA60,#REF!,7,0)*(+DL60+DM60)</f>
        <v>#REF!</v>
      </c>
      <c r="DP60" s="47" t="e">
        <f>VLOOKUP($AB60,#REF!,7,0)*(+DL60+DM60)</f>
        <v>#REF!</v>
      </c>
      <c r="DS60" s="47"/>
      <c r="DU60" s="47" t="e">
        <f t="shared" si="61"/>
        <v>#REF!</v>
      </c>
      <c r="DZ60" s="47" t="e">
        <f t="shared" si="62"/>
        <v>#REF!</v>
      </c>
      <c r="EA60" s="66"/>
    </row>
    <row r="61" spans="1:131" ht="25.5" x14ac:dyDescent="0.2">
      <c r="A61" s="38" t="s">
        <v>376</v>
      </c>
      <c r="B61" s="39" t="s">
        <v>79</v>
      </c>
      <c r="C61" s="39" t="s">
        <v>346</v>
      </c>
      <c r="D61" s="39"/>
      <c r="E61" s="40"/>
      <c r="F61" s="41">
        <v>1161</v>
      </c>
      <c r="G61" s="41"/>
      <c r="H61" s="41"/>
      <c r="I61" s="41"/>
      <c r="J61" s="41"/>
      <c r="K61" s="51"/>
      <c r="L61" s="41"/>
      <c r="M61" s="41"/>
      <c r="N61" s="41"/>
      <c r="O61" s="41"/>
      <c r="P61" s="41"/>
      <c r="Q61" s="41"/>
      <c r="R61" s="41"/>
      <c r="S61" s="41">
        <f t="shared" si="52"/>
        <v>-28.31707317073171</v>
      </c>
      <c r="T61" s="42">
        <f t="shared" si="33"/>
        <v>1132.6829268292684</v>
      </c>
      <c r="U61" s="43"/>
      <c r="V61" s="141">
        <v>1132.6829268292684</v>
      </c>
      <c r="W61" s="143" t="s">
        <v>368</v>
      </c>
      <c r="X61" s="143">
        <v>8</v>
      </c>
      <c r="Y61" s="171" t="s">
        <v>423</v>
      </c>
      <c r="Z61" s="171" t="s">
        <v>441</v>
      </c>
      <c r="AA61" s="247" t="s">
        <v>533</v>
      </c>
      <c r="AB61" s="187" t="s">
        <v>458</v>
      </c>
      <c r="AC61" s="10">
        <f t="shared" si="53"/>
        <v>28.31707317073171</v>
      </c>
      <c r="AD61" s="13">
        <v>26.702999999999999</v>
      </c>
      <c r="AE61" s="10"/>
      <c r="AF61" s="10"/>
      <c r="AG61" s="45"/>
      <c r="AH61" s="45"/>
      <c r="AI61" s="45">
        <f t="shared" si="54"/>
        <v>-45.307317073170736</v>
      </c>
      <c r="AJ61" s="41"/>
      <c r="AK61" s="45"/>
      <c r="AL61" s="45"/>
      <c r="AN61" s="128">
        <v>0</v>
      </c>
      <c r="AO61" s="45"/>
      <c r="AP61" s="46">
        <f t="shared" si="34"/>
        <v>1142.3956829268293</v>
      </c>
      <c r="AQ61" s="47"/>
      <c r="AW61" s="48">
        <f t="shared" si="35"/>
        <v>1142.3956829268293</v>
      </c>
      <c r="AX61" s="66"/>
      <c r="AY61" s="47">
        <f t="shared" si="4"/>
        <v>1114.0786097560976</v>
      </c>
      <c r="AZ61" s="47"/>
      <c r="BA61" s="47">
        <f t="shared" si="55"/>
        <v>23.674170457317075</v>
      </c>
      <c r="BB61" s="47" t="e">
        <f>VLOOKUP($AA61,#REF!,3,0)*(+AY61+AZ61)</f>
        <v>#REF!</v>
      </c>
      <c r="BC61" s="47" t="e">
        <f>VLOOKUP($AB61,#REF!,3,0)*(+AY61+AZ61)</f>
        <v>#REF!</v>
      </c>
      <c r="BE61" s="47"/>
      <c r="BF61" s="47"/>
      <c r="BH61" s="47" t="e">
        <f t="shared" si="36"/>
        <v>#REF!</v>
      </c>
      <c r="BM61" s="47" t="e">
        <f t="shared" si="37"/>
        <v>#REF!</v>
      </c>
      <c r="BN61" s="66"/>
      <c r="BO61" s="47" t="e">
        <f t="shared" si="6"/>
        <v>#REF!</v>
      </c>
      <c r="BP61" s="47"/>
      <c r="BQ61" s="47" t="e">
        <f t="shared" si="56"/>
        <v>#REF!</v>
      </c>
      <c r="BR61" s="47" t="e">
        <f>VLOOKUP($AA61,#REF!,4,0)*(+BO61+BP61)</f>
        <v>#REF!</v>
      </c>
      <c r="BS61" s="47" t="e">
        <f>VLOOKUP($AB61,#REF!,4,0)*(+BO61+BP61)</f>
        <v>#REF!</v>
      </c>
      <c r="BV61" s="47"/>
      <c r="BX61" s="47"/>
      <c r="BY61" s="47" t="e">
        <f t="shared" si="18"/>
        <v>#REF!</v>
      </c>
      <c r="CD61" s="47" t="e">
        <f t="shared" si="38"/>
        <v>#REF!</v>
      </c>
      <c r="CE61" s="66"/>
      <c r="CF61" s="47" t="e">
        <f t="shared" si="8"/>
        <v>#REF!</v>
      </c>
      <c r="CG61" s="47"/>
      <c r="CH61" s="47" t="e">
        <f t="shared" si="57"/>
        <v>#REF!</v>
      </c>
      <c r="CI61" s="47" t="e">
        <f>VLOOKUP($AA61,#REF!,5,0)*(+CF61+CG61)</f>
        <v>#REF!</v>
      </c>
      <c r="CJ61" s="47" t="e">
        <f>VLOOKUP($AB61,#REF!,5,0)*(+CF61+CG61)</f>
        <v>#REF!</v>
      </c>
      <c r="CM61" s="47"/>
      <c r="CO61" s="47" t="e">
        <f t="shared" si="39"/>
        <v>#REF!</v>
      </c>
      <c r="CT61" s="47" t="e">
        <f t="shared" si="40"/>
        <v>#REF!</v>
      </c>
      <c r="CU61" s="66"/>
      <c r="CV61" s="47" t="e">
        <f t="shared" si="11"/>
        <v>#REF!</v>
      </c>
      <c r="CW61" s="47"/>
      <c r="CX61" s="47" t="e">
        <f t="shared" si="58"/>
        <v>#REF!</v>
      </c>
      <c r="CY61" s="47" t="e">
        <f>VLOOKUP($AA61,#REF!,6,0)*(+CV61+CW61)</f>
        <v>#REF!</v>
      </c>
      <c r="CZ61" s="47" t="e">
        <f>VLOOKUP($AB61,#REF!,6,0)*(+CV61+CW61)</f>
        <v>#REF!</v>
      </c>
      <c r="DC61" s="47"/>
      <c r="DE61" s="47" t="e">
        <f t="shared" si="41"/>
        <v>#REF!</v>
      </c>
      <c r="DJ61" s="47" t="e">
        <f t="shared" si="42"/>
        <v>#REF!</v>
      </c>
      <c r="DK61" s="66"/>
      <c r="DL61" s="47" t="e">
        <f t="shared" si="59"/>
        <v>#REF!</v>
      </c>
      <c r="DM61" s="47"/>
      <c r="DN61" s="47" t="e">
        <f t="shared" si="60"/>
        <v>#REF!</v>
      </c>
      <c r="DO61" s="47" t="e">
        <f>VLOOKUP($AA61,#REF!,7,0)*(+DL61+DM61)</f>
        <v>#REF!</v>
      </c>
      <c r="DP61" s="47" t="e">
        <f>VLOOKUP($AB61,#REF!,7,0)*(+DL61+DM61)</f>
        <v>#REF!</v>
      </c>
      <c r="DS61" s="47"/>
      <c r="DU61" s="47" t="e">
        <f t="shared" si="61"/>
        <v>#REF!</v>
      </c>
      <c r="DZ61" s="47" t="e">
        <f t="shared" si="62"/>
        <v>#REF!</v>
      </c>
      <c r="EA61" s="66"/>
    </row>
    <row r="62" spans="1:131" ht="25.5" x14ac:dyDescent="0.2">
      <c r="A62" s="38" t="s">
        <v>374</v>
      </c>
      <c r="B62" s="39" t="s">
        <v>103</v>
      </c>
      <c r="C62" s="39" t="s">
        <v>104</v>
      </c>
      <c r="D62" s="39"/>
      <c r="E62" s="40">
        <v>91128</v>
      </c>
      <c r="F62" s="41"/>
      <c r="G62" s="41"/>
      <c r="H62" s="41"/>
      <c r="I62" s="41"/>
      <c r="J62" s="41"/>
      <c r="K62" s="51"/>
      <c r="L62" s="41"/>
      <c r="M62" s="41"/>
      <c r="N62" s="41"/>
      <c r="O62" s="41"/>
      <c r="P62" s="41"/>
      <c r="Q62" s="41"/>
      <c r="R62" s="41"/>
      <c r="S62" s="41">
        <f t="shared" si="52"/>
        <v>-2222.6341463414637</v>
      </c>
      <c r="T62" s="42">
        <f t="shared" si="33"/>
        <v>88905.365853658543</v>
      </c>
      <c r="U62" s="43"/>
      <c r="V62" s="141">
        <v>88905.365853658543</v>
      </c>
      <c r="W62" s="142" t="s">
        <v>367</v>
      </c>
      <c r="X62" s="142">
        <v>5</v>
      </c>
      <c r="Y62" s="171" t="s">
        <v>423</v>
      </c>
      <c r="Z62" s="171" t="s">
        <v>441</v>
      </c>
      <c r="AA62" s="247" t="s">
        <v>533</v>
      </c>
      <c r="AB62" s="187" t="s">
        <v>458</v>
      </c>
      <c r="AC62" s="10">
        <f t="shared" si="53"/>
        <v>2222.6341463414637</v>
      </c>
      <c r="AD62" s="13">
        <v>2733.8399999999997</v>
      </c>
      <c r="AE62" s="10"/>
      <c r="AF62" s="10"/>
      <c r="AG62" s="45"/>
      <c r="AH62" s="45"/>
      <c r="AI62" s="45">
        <f t="shared" si="54"/>
        <v>-3556.2146341463417</v>
      </c>
      <c r="AJ62" s="41"/>
      <c r="AK62" s="45"/>
      <c r="AL62" s="45"/>
      <c r="AN62" s="128">
        <v>-51683</v>
      </c>
      <c r="AO62" s="45"/>
      <c r="AP62" s="46">
        <f t="shared" si="34"/>
        <v>38622.625365853666</v>
      </c>
      <c r="AQ62" s="47"/>
      <c r="AW62" s="48">
        <f t="shared" si="35"/>
        <v>38622.625365853666</v>
      </c>
      <c r="AX62" s="66"/>
      <c r="AY62" s="47">
        <f t="shared" si="4"/>
        <v>36399.991219512201</v>
      </c>
      <c r="AZ62" s="47"/>
      <c r="BA62" s="47">
        <f t="shared" si="55"/>
        <v>773.49981341463433</v>
      </c>
      <c r="BB62" s="47" t="e">
        <f>VLOOKUP($AA62,#REF!,3,0)*(+AY62+AZ62)</f>
        <v>#REF!</v>
      </c>
      <c r="BC62" s="47" t="e">
        <f>VLOOKUP($AB62,#REF!,3,0)*(+AY62+AZ62)</f>
        <v>#REF!</v>
      </c>
      <c r="BE62" s="47"/>
      <c r="BH62" s="47" t="e">
        <f t="shared" si="36"/>
        <v>#REF!</v>
      </c>
      <c r="BM62" s="47" t="e">
        <f t="shared" si="37"/>
        <v>#REF!</v>
      </c>
      <c r="BN62" s="66"/>
      <c r="BO62" s="47" t="e">
        <f t="shared" si="6"/>
        <v>#REF!</v>
      </c>
      <c r="BP62" s="47"/>
      <c r="BQ62" s="47" t="e">
        <f t="shared" si="56"/>
        <v>#REF!</v>
      </c>
      <c r="BR62" s="47" t="e">
        <f>VLOOKUP($AA62,#REF!,4,0)*(+BO62+BP62)</f>
        <v>#REF!</v>
      </c>
      <c r="BS62" s="47" t="e">
        <f>VLOOKUP($AB62,#REF!,4,0)*(+BO62+BP62)</f>
        <v>#REF!</v>
      </c>
      <c r="BV62" s="47"/>
      <c r="BX62" s="47"/>
      <c r="BY62" s="47" t="e">
        <f t="shared" si="18"/>
        <v>#REF!</v>
      </c>
      <c r="CD62" s="47" t="e">
        <f t="shared" si="38"/>
        <v>#REF!</v>
      </c>
      <c r="CE62" s="66"/>
      <c r="CF62" s="47" t="e">
        <f t="shared" si="8"/>
        <v>#REF!</v>
      </c>
      <c r="CG62" s="47"/>
      <c r="CH62" s="47" t="e">
        <f t="shared" si="57"/>
        <v>#REF!</v>
      </c>
      <c r="CI62" s="47" t="e">
        <f>VLOOKUP($AA62,#REF!,5,0)*(+CF62+CG62)</f>
        <v>#REF!</v>
      </c>
      <c r="CJ62" s="47" t="e">
        <f>VLOOKUP($AB62,#REF!,5,0)*(+CF62+CG62)</f>
        <v>#REF!</v>
      </c>
      <c r="CM62" s="47"/>
      <c r="CO62" s="47" t="e">
        <f t="shared" si="39"/>
        <v>#REF!</v>
      </c>
      <c r="CT62" s="47" t="e">
        <f t="shared" si="40"/>
        <v>#REF!</v>
      </c>
      <c r="CU62" s="66"/>
      <c r="CV62" s="47" t="e">
        <f t="shared" si="11"/>
        <v>#REF!</v>
      </c>
      <c r="CW62" s="47"/>
      <c r="CX62" s="47" t="e">
        <f t="shared" si="58"/>
        <v>#REF!</v>
      </c>
      <c r="CY62" s="47" t="e">
        <f>VLOOKUP($AA62,#REF!,6,0)*(+CV62+CW62)</f>
        <v>#REF!</v>
      </c>
      <c r="CZ62" s="47" t="e">
        <f>VLOOKUP($AB62,#REF!,6,0)*(+CV62+CW62)</f>
        <v>#REF!</v>
      </c>
      <c r="DC62" s="47"/>
      <c r="DE62" s="47" t="e">
        <f t="shared" si="41"/>
        <v>#REF!</v>
      </c>
      <c r="DJ62" s="47" t="e">
        <f t="shared" si="42"/>
        <v>#REF!</v>
      </c>
      <c r="DK62" s="66"/>
      <c r="DL62" s="47" t="e">
        <f t="shared" si="59"/>
        <v>#REF!</v>
      </c>
      <c r="DM62" s="47"/>
      <c r="DN62" s="47" t="e">
        <f t="shared" si="60"/>
        <v>#REF!</v>
      </c>
      <c r="DO62" s="47" t="e">
        <f>VLOOKUP($AA62,#REF!,7,0)*(+DL62+DM62)</f>
        <v>#REF!</v>
      </c>
      <c r="DP62" s="47" t="e">
        <f>VLOOKUP($AB62,#REF!,7,0)*(+DL62+DM62)</f>
        <v>#REF!</v>
      </c>
      <c r="DS62" s="47"/>
      <c r="DU62" s="47" t="e">
        <f t="shared" si="61"/>
        <v>#REF!</v>
      </c>
      <c r="DZ62" s="47" t="e">
        <f t="shared" si="62"/>
        <v>#REF!</v>
      </c>
      <c r="EA62" s="66"/>
    </row>
    <row r="63" spans="1:131" ht="25.5" x14ac:dyDescent="0.2">
      <c r="A63" s="38" t="s">
        <v>376</v>
      </c>
      <c r="B63" s="39" t="s">
        <v>109</v>
      </c>
      <c r="C63" s="39" t="s">
        <v>110</v>
      </c>
      <c r="D63" s="49"/>
      <c r="E63" s="40">
        <v>833515</v>
      </c>
      <c r="F63" s="41"/>
      <c r="G63" s="41"/>
      <c r="H63" s="41"/>
      <c r="I63" s="41"/>
      <c r="J63" s="41"/>
      <c r="K63" s="51"/>
      <c r="L63" s="41"/>
      <c r="M63" s="41"/>
      <c r="N63" s="41"/>
      <c r="O63" s="41"/>
      <c r="P63" s="41"/>
      <c r="Q63" s="41"/>
      <c r="R63" s="41"/>
      <c r="S63" s="41"/>
      <c r="T63" s="42">
        <f t="shared" si="33"/>
        <v>833515</v>
      </c>
      <c r="U63" s="43"/>
      <c r="V63" s="141">
        <v>833515</v>
      </c>
      <c r="W63" s="143" t="s">
        <v>368</v>
      </c>
      <c r="X63" s="143">
        <v>8</v>
      </c>
      <c r="Y63" s="172" t="s">
        <v>424</v>
      </c>
      <c r="Z63" s="171" t="s">
        <v>441</v>
      </c>
      <c r="AA63" s="247" t="s">
        <v>533</v>
      </c>
      <c r="AB63" s="187" t="s">
        <v>458</v>
      </c>
      <c r="AC63" s="10"/>
      <c r="AD63" s="13">
        <v>25005.45</v>
      </c>
      <c r="AE63" s="10"/>
      <c r="AF63" s="10"/>
      <c r="AG63" s="45"/>
      <c r="AH63" s="45"/>
      <c r="AI63" s="45">
        <f t="shared" si="54"/>
        <v>-33340.6</v>
      </c>
      <c r="AJ63" s="41"/>
      <c r="AK63" s="45"/>
      <c r="AL63" s="45"/>
      <c r="AN63" s="128">
        <v>0</v>
      </c>
      <c r="AO63" s="45"/>
      <c r="AP63" s="46">
        <f t="shared" si="34"/>
        <v>825179.85</v>
      </c>
      <c r="AQ63" s="47"/>
      <c r="AW63" s="48">
        <f t="shared" si="35"/>
        <v>825179.85</v>
      </c>
      <c r="AX63" s="66"/>
      <c r="AY63" s="47">
        <f t="shared" si="4"/>
        <v>825179.85</v>
      </c>
      <c r="AZ63" s="47"/>
      <c r="BB63" s="47" t="e">
        <f>VLOOKUP($AA63,#REF!,3,0)*(+AY63+AZ63)</f>
        <v>#REF!</v>
      </c>
      <c r="BC63" s="47" t="e">
        <f>VLOOKUP($AB63,#REF!,3,0)*(+AY63+AZ63)</f>
        <v>#REF!</v>
      </c>
      <c r="BE63" s="47"/>
      <c r="BH63" s="47" t="e">
        <f t="shared" si="36"/>
        <v>#REF!</v>
      </c>
      <c r="BM63" s="47" t="e">
        <f t="shared" si="37"/>
        <v>#REF!</v>
      </c>
      <c r="BN63" s="66"/>
      <c r="BO63" s="47" t="e">
        <f t="shared" si="6"/>
        <v>#REF!</v>
      </c>
      <c r="BP63" s="47"/>
      <c r="BR63" s="47" t="e">
        <f>VLOOKUP($AA63,#REF!,4,0)*(+BO63+BP63)</f>
        <v>#REF!</v>
      </c>
      <c r="BS63" s="47" t="e">
        <f>VLOOKUP($AB63,#REF!,4,0)*(+BO63+BP63)</f>
        <v>#REF!</v>
      </c>
      <c r="BV63" s="47"/>
      <c r="BX63" s="244" t="e">
        <f>-SUM(BO63:BS63)</f>
        <v>#REF!</v>
      </c>
      <c r="BY63" s="47" t="e">
        <f t="shared" si="18"/>
        <v>#REF!</v>
      </c>
      <c r="CD63" s="47" t="e">
        <f t="shared" si="38"/>
        <v>#REF!</v>
      </c>
      <c r="CE63" s="66"/>
      <c r="CF63" s="47" t="e">
        <f t="shared" si="8"/>
        <v>#REF!</v>
      </c>
      <c r="CG63" s="47"/>
      <c r="CI63" s="47" t="e">
        <f>VLOOKUP($AA63,#REF!,5,0)*(+CF63+CG63)</f>
        <v>#REF!</v>
      </c>
      <c r="CJ63" s="47" t="e">
        <f>VLOOKUP($AB63,#REF!,5,0)*(+CF63+CG63)</f>
        <v>#REF!</v>
      </c>
      <c r="CM63" s="47"/>
      <c r="CO63" s="47" t="e">
        <f t="shared" si="39"/>
        <v>#REF!</v>
      </c>
      <c r="CT63" s="47" t="e">
        <f t="shared" si="40"/>
        <v>#REF!</v>
      </c>
      <c r="CU63" s="66"/>
      <c r="CV63" s="47" t="e">
        <f t="shared" si="11"/>
        <v>#REF!</v>
      </c>
      <c r="CW63" s="47"/>
      <c r="CY63" s="47" t="e">
        <f>VLOOKUP($AA63,#REF!,6,0)*(+CV63+CW63)</f>
        <v>#REF!</v>
      </c>
      <c r="CZ63" s="47" t="e">
        <f>VLOOKUP($AB63,#REF!,6,0)*(+CV63+CW63)</f>
        <v>#REF!</v>
      </c>
      <c r="DC63" s="47"/>
      <c r="DE63" s="47" t="e">
        <f t="shared" si="41"/>
        <v>#REF!</v>
      </c>
      <c r="DJ63" s="47" t="e">
        <f t="shared" si="42"/>
        <v>#REF!</v>
      </c>
      <c r="DK63" s="66"/>
      <c r="DL63" s="47" t="e">
        <f t="shared" si="59"/>
        <v>#REF!</v>
      </c>
      <c r="DM63" s="47"/>
      <c r="DO63" s="47" t="e">
        <f>VLOOKUP($AA63,#REF!,7,0)*(+DL63+DM63)</f>
        <v>#REF!</v>
      </c>
      <c r="DP63" s="47" t="e">
        <f>VLOOKUP($AB63,#REF!,7,0)*(+DL63+DM63)</f>
        <v>#REF!</v>
      </c>
      <c r="DS63" s="47"/>
      <c r="DU63" s="47" t="e">
        <f t="shared" si="61"/>
        <v>#REF!</v>
      </c>
      <c r="DZ63" s="47" t="e">
        <f t="shared" si="62"/>
        <v>#REF!</v>
      </c>
      <c r="EA63" s="66"/>
    </row>
    <row r="64" spans="1:131" x14ac:dyDescent="0.2">
      <c r="A64" s="38" t="s">
        <v>376</v>
      </c>
      <c r="B64" s="39" t="s">
        <v>111</v>
      </c>
      <c r="C64" s="39" t="s">
        <v>112</v>
      </c>
      <c r="D64" s="39"/>
      <c r="E64" s="40">
        <v>333561</v>
      </c>
      <c r="F64" s="41"/>
      <c r="G64" s="41"/>
      <c r="H64" s="41"/>
      <c r="I64" s="41"/>
      <c r="J64" s="41"/>
      <c r="K64" s="51"/>
      <c r="L64" s="41"/>
      <c r="M64" s="41"/>
      <c r="N64" s="41"/>
      <c r="O64" s="41"/>
      <c r="P64" s="41"/>
      <c r="Q64" s="41"/>
      <c r="R64" s="41"/>
      <c r="S64" s="41"/>
      <c r="T64" s="42">
        <f t="shared" si="33"/>
        <v>333561</v>
      </c>
      <c r="U64" s="43"/>
      <c r="V64" s="141">
        <v>333561</v>
      </c>
      <c r="W64" s="143" t="s">
        <v>368</v>
      </c>
      <c r="X64" s="143">
        <v>8</v>
      </c>
      <c r="Y64" s="171" t="s">
        <v>423</v>
      </c>
      <c r="Z64" s="171" t="s">
        <v>430</v>
      </c>
      <c r="AA64" s="247" t="s">
        <v>514</v>
      </c>
      <c r="AB64" s="187" t="s">
        <v>459</v>
      </c>
      <c r="AC64" s="10"/>
      <c r="AD64" s="13">
        <v>10006.83</v>
      </c>
      <c r="AE64" s="10"/>
      <c r="AF64" s="10"/>
      <c r="AG64" s="45"/>
      <c r="AH64" s="45"/>
      <c r="AI64" s="45">
        <f t="shared" si="54"/>
        <v>-13342.44</v>
      </c>
      <c r="AJ64" s="41"/>
      <c r="AK64" s="45"/>
      <c r="AL64" s="45"/>
      <c r="AN64" s="128">
        <v>0</v>
      </c>
      <c r="AO64" s="45"/>
      <c r="AP64" s="46">
        <f t="shared" si="34"/>
        <v>330225.39</v>
      </c>
      <c r="AQ64" s="47"/>
      <c r="AW64" s="48">
        <f t="shared" si="35"/>
        <v>330225.39</v>
      </c>
      <c r="AX64" s="66"/>
      <c r="AY64" s="47">
        <f t="shared" si="4"/>
        <v>330225.39</v>
      </c>
      <c r="AZ64" s="47"/>
      <c r="BB64" s="47" t="e">
        <f>VLOOKUP($AA64,#REF!,3,0)*(+AY64+AZ64)</f>
        <v>#REF!</v>
      </c>
      <c r="BC64" s="47" t="e">
        <f>VLOOKUP($AB64,#REF!,3,0)*(+AY64+AZ64)</f>
        <v>#REF!</v>
      </c>
      <c r="BE64" s="47"/>
      <c r="BH64" s="47" t="e">
        <f t="shared" si="36"/>
        <v>#REF!</v>
      </c>
      <c r="BM64" s="47" t="e">
        <f t="shared" si="37"/>
        <v>#REF!</v>
      </c>
      <c r="BN64" s="66"/>
      <c r="BO64" s="47" t="e">
        <f t="shared" si="6"/>
        <v>#REF!</v>
      </c>
      <c r="BP64" s="47"/>
      <c r="BR64" s="47" t="e">
        <f>VLOOKUP($AA64,#REF!,4,0)*(+BO64+BP64)</f>
        <v>#REF!</v>
      </c>
      <c r="BS64" s="47" t="e">
        <f>VLOOKUP($AB64,#REF!,4,0)*(+BO64+BP64)</f>
        <v>#REF!</v>
      </c>
      <c r="BV64" s="47"/>
      <c r="BX64" s="47"/>
      <c r="BY64" s="47" t="e">
        <f t="shared" si="18"/>
        <v>#REF!</v>
      </c>
      <c r="CD64" s="47" t="e">
        <f t="shared" si="38"/>
        <v>#REF!</v>
      </c>
      <c r="CE64" s="66"/>
      <c r="CF64" s="47" t="e">
        <f t="shared" si="8"/>
        <v>#REF!</v>
      </c>
      <c r="CG64" s="47"/>
      <c r="CI64" s="47" t="e">
        <f>VLOOKUP($AA64,#REF!,5,0)*(+CF64+CG64)</f>
        <v>#REF!</v>
      </c>
      <c r="CJ64" s="47" t="e">
        <f>VLOOKUP($AB64,#REF!,5,0)*(+CF64+CG64)</f>
        <v>#REF!</v>
      </c>
      <c r="CM64" s="47"/>
      <c r="CO64" s="47" t="e">
        <f t="shared" si="39"/>
        <v>#REF!</v>
      </c>
      <c r="CT64" s="47" t="e">
        <f t="shared" si="40"/>
        <v>#REF!</v>
      </c>
      <c r="CU64" s="66"/>
      <c r="CV64" s="47" t="e">
        <f t="shared" si="11"/>
        <v>#REF!</v>
      </c>
      <c r="CW64" s="47"/>
      <c r="CY64" s="47" t="e">
        <f>VLOOKUP($AA64,#REF!,6,0)*(+CV64+CW64)</f>
        <v>#REF!</v>
      </c>
      <c r="CZ64" s="47" t="e">
        <f>VLOOKUP($AB64,#REF!,6,0)*(+CV64+CW64)</f>
        <v>#REF!</v>
      </c>
      <c r="DC64" s="47"/>
      <c r="DE64" s="47" t="e">
        <f t="shared" si="41"/>
        <v>#REF!</v>
      </c>
      <c r="DJ64" s="47" t="e">
        <f t="shared" si="42"/>
        <v>#REF!</v>
      </c>
      <c r="DK64" s="66"/>
      <c r="DL64" s="47" t="e">
        <f t="shared" si="59"/>
        <v>#REF!</v>
      </c>
      <c r="DM64" s="47"/>
      <c r="DO64" s="47" t="e">
        <f>VLOOKUP($AA64,#REF!,7,0)*(+DL64+DM64)</f>
        <v>#REF!</v>
      </c>
      <c r="DP64" s="47" t="e">
        <f>VLOOKUP($AB64,#REF!,7,0)*(+DL64+DM64)</f>
        <v>#REF!</v>
      </c>
      <c r="DS64" s="47"/>
      <c r="DU64" s="47" t="e">
        <f t="shared" si="61"/>
        <v>#REF!</v>
      </c>
      <c r="DZ64" s="47" t="e">
        <f t="shared" si="62"/>
        <v>#REF!</v>
      </c>
      <c r="EA64" s="66"/>
    </row>
    <row r="65" spans="1:131" x14ac:dyDescent="0.2">
      <c r="A65" s="38" t="s">
        <v>380</v>
      </c>
      <c r="B65" s="39" t="s">
        <v>165</v>
      </c>
      <c r="C65" s="39" t="s">
        <v>166</v>
      </c>
      <c r="D65" s="39"/>
      <c r="E65" s="40">
        <v>11760</v>
      </c>
      <c r="F65" s="41"/>
      <c r="G65" s="41"/>
      <c r="H65" s="41"/>
      <c r="I65" s="41"/>
      <c r="J65" s="41"/>
      <c r="K65" s="51"/>
      <c r="L65" s="41"/>
      <c r="M65" s="41"/>
      <c r="N65" s="41"/>
      <c r="O65" s="41"/>
      <c r="P65" s="41"/>
      <c r="Q65" s="41"/>
      <c r="R65" s="41"/>
      <c r="S65" s="41"/>
      <c r="T65" s="42">
        <f t="shared" si="33"/>
        <v>11760</v>
      </c>
      <c r="U65" s="43"/>
      <c r="V65" s="139">
        <v>11760</v>
      </c>
      <c r="W65" s="143" t="s">
        <v>368</v>
      </c>
      <c r="X65" s="143">
        <v>11</v>
      </c>
      <c r="Y65" s="171" t="s">
        <v>423</v>
      </c>
      <c r="Z65" s="171" t="s">
        <v>430</v>
      </c>
      <c r="AA65" s="247" t="s">
        <v>514</v>
      </c>
      <c r="AB65" s="187" t="s">
        <v>459</v>
      </c>
      <c r="AC65" s="10"/>
      <c r="AD65" s="13">
        <v>352.8</v>
      </c>
      <c r="AE65" s="10"/>
      <c r="AF65" s="10"/>
      <c r="AG65" s="45"/>
      <c r="AH65" s="45"/>
      <c r="AI65" s="45"/>
      <c r="AJ65" s="41"/>
      <c r="AK65" s="45"/>
      <c r="AL65" s="45"/>
      <c r="AN65" s="128">
        <v>0</v>
      </c>
      <c r="AO65" s="45"/>
      <c r="AP65" s="46">
        <f t="shared" si="34"/>
        <v>12112.8</v>
      </c>
      <c r="AQ65" s="47"/>
      <c r="AW65" s="48">
        <f t="shared" si="35"/>
        <v>12112.8</v>
      </c>
      <c r="AX65" s="66"/>
      <c r="AY65" s="47">
        <f t="shared" si="4"/>
        <v>12112.8</v>
      </c>
      <c r="AZ65" s="47"/>
      <c r="BB65" s="47" t="e">
        <f>VLOOKUP($AA65,#REF!,3,0)*(+AY65+AZ65)</f>
        <v>#REF!</v>
      </c>
      <c r="BC65" s="47" t="e">
        <f>VLOOKUP($AB65,#REF!,3,0)*(+AY65+AZ65)</f>
        <v>#REF!</v>
      </c>
      <c r="BE65" s="47"/>
      <c r="BH65" s="47" t="e">
        <f t="shared" si="36"/>
        <v>#REF!</v>
      </c>
      <c r="BM65" s="47" t="e">
        <f t="shared" si="37"/>
        <v>#REF!</v>
      </c>
      <c r="BN65" s="66"/>
      <c r="BO65" s="47" t="e">
        <f t="shared" si="6"/>
        <v>#REF!</v>
      </c>
      <c r="BP65" s="47"/>
      <c r="BR65" s="47" t="e">
        <f>VLOOKUP($AA65,#REF!,4,0)*(+BO65+BP65)</f>
        <v>#REF!</v>
      </c>
      <c r="BS65" s="47" t="e">
        <f>VLOOKUP($AB65,#REF!,4,0)*(+BO65+BP65)</f>
        <v>#REF!</v>
      </c>
      <c r="BV65" s="47"/>
      <c r="BX65" s="47"/>
      <c r="BY65" s="47" t="e">
        <f t="shared" si="18"/>
        <v>#REF!</v>
      </c>
      <c r="CD65" s="47" t="e">
        <f t="shared" si="38"/>
        <v>#REF!</v>
      </c>
      <c r="CE65" s="66"/>
      <c r="CF65" s="47" t="e">
        <f t="shared" si="8"/>
        <v>#REF!</v>
      </c>
      <c r="CG65" s="47"/>
      <c r="CI65" s="47" t="e">
        <f>VLOOKUP($AA65,#REF!,5,0)*(+CF65+CG65)</f>
        <v>#REF!</v>
      </c>
      <c r="CJ65" s="47" t="e">
        <f>VLOOKUP($AB65,#REF!,5,0)*(+CF65+CG65)</f>
        <v>#REF!</v>
      </c>
      <c r="CM65" s="47"/>
      <c r="CO65" s="47" t="e">
        <f t="shared" si="39"/>
        <v>#REF!</v>
      </c>
      <c r="CT65" s="47" t="e">
        <f t="shared" si="40"/>
        <v>#REF!</v>
      </c>
      <c r="CU65" s="66"/>
      <c r="CV65" s="47" t="e">
        <f t="shared" si="11"/>
        <v>#REF!</v>
      </c>
      <c r="CW65" s="47"/>
      <c r="CY65" s="47" t="e">
        <f>VLOOKUP($AA65,#REF!,6,0)*(+CV65+CW65)</f>
        <v>#REF!</v>
      </c>
      <c r="CZ65" s="47" t="e">
        <f>VLOOKUP($AB65,#REF!,6,0)*(+CV65+CW65)</f>
        <v>#REF!</v>
      </c>
      <c r="DC65" s="47"/>
      <c r="DE65" s="47" t="e">
        <f t="shared" si="41"/>
        <v>#REF!</v>
      </c>
      <c r="DJ65" s="47" t="e">
        <f t="shared" si="42"/>
        <v>#REF!</v>
      </c>
      <c r="DK65" s="66"/>
      <c r="DL65" s="47" t="e">
        <f t="shared" si="59"/>
        <v>#REF!</v>
      </c>
      <c r="DM65" s="47"/>
      <c r="DO65" s="47" t="e">
        <f>VLOOKUP($AA65,#REF!,7,0)*(+DL65+DM65)</f>
        <v>#REF!</v>
      </c>
      <c r="DP65" s="47" t="e">
        <f>VLOOKUP($AB65,#REF!,7,0)*(+DL65+DM65)</f>
        <v>#REF!</v>
      </c>
      <c r="DS65" s="47"/>
      <c r="DU65" s="47" t="e">
        <f t="shared" si="61"/>
        <v>#REF!</v>
      </c>
      <c r="DZ65" s="47" t="e">
        <f t="shared" si="62"/>
        <v>#REF!</v>
      </c>
      <c r="EA65" s="66"/>
    </row>
    <row r="66" spans="1:131" x14ac:dyDescent="0.2">
      <c r="A66" s="38" t="s">
        <v>380</v>
      </c>
      <c r="B66" s="39" t="s">
        <v>167</v>
      </c>
      <c r="C66" s="39" t="s">
        <v>168</v>
      </c>
      <c r="D66" s="39"/>
      <c r="E66" s="40">
        <v>39669</v>
      </c>
      <c r="F66" s="41"/>
      <c r="G66" s="41"/>
      <c r="H66" s="41"/>
      <c r="I66" s="41"/>
      <c r="J66" s="41"/>
      <c r="K66" s="51"/>
      <c r="L66" s="41"/>
      <c r="M66" s="41"/>
      <c r="N66" s="41"/>
      <c r="O66" s="41"/>
      <c r="P66" s="41"/>
      <c r="Q66" s="41"/>
      <c r="R66" s="41"/>
      <c r="S66" s="41"/>
      <c r="T66" s="42">
        <f t="shared" si="33"/>
        <v>39669</v>
      </c>
      <c r="U66" s="43"/>
      <c r="V66" s="139">
        <v>39669</v>
      </c>
      <c r="W66" s="143" t="s">
        <v>368</v>
      </c>
      <c r="X66" s="143">
        <v>11</v>
      </c>
      <c r="Y66" s="171" t="s">
        <v>423</v>
      </c>
      <c r="Z66" s="171" t="s">
        <v>430</v>
      </c>
      <c r="AA66" s="247" t="s">
        <v>514</v>
      </c>
      <c r="AB66" s="187" t="s">
        <v>459</v>
      </c>
      <c r="AC66" s="10"/>
      <c r="AD66" s="13">
        <v>1190.07</v>
      </c>
      <c r="AE66" s="10"/>
      <c r="AF66" s="10"/>
      <c r="AG66" s="45"/>
      <c r="AH66" s="45"/>
      <c r="AI66" s="45"/>
      <c r="AJ66" s="41"/>
      <c r="AK66" s="45"/>
      <c r="AL66" s="45"/>
      <c r="AN66" s="128">
        <v>0</v>
      </c>
      <c r="AO66" s="45"/>
      <c r="AP66" s="46">
        <f t="shared" si="34"/>
        <v>40859.07</v>
      </c>
      <c r="AQ66" s="47"/>
      <c r="AW66" s="48">
        <f t="shared" si="35"/>
        <v>40859.07</v>
      </c>
      <c r="AX66" s="66"/>
      <c r="AY66" s="47">
        <f t="shared" si="4"/>
        <v>40859.07</v>
      </c>
      <c r="AZ66" s="47"/>
      <c r="BB66" s="47" t="e">
        <f>VLOOKUP($AA66,#REF!,3,0)*(+AY66+AZ66)</f>
        <v>#REF!</v>
      </c>
      <c r="BC66" s="47" t="e">
        <f>VLOOKUP($AB66,#REF!,3,0)*(+AY66+AZ66)</f>
        <v>#REF!</v>
      </c>
      <c r="BE66" s="47"/>
      <c r="BH66" s="47" t="e">
        <f t="shared" si="36"/>
        <v>#REF!</v>
      </c>
      <c r="BM66" s="47" t="e">
        <f t="shared" si="37"/>
        <v>#REF!</v>
      </c>
      <c r="BN66" s="66"/>
      <c r="BO66" s="47" t="e">
        <f t="shared" si="6"/>
        <v>#REF!</v>
      </c>
      <c r="BP66" s="47"/>
      <c r="BR66" s="47" t="e">
        <f>VLOOKUP($AA66,#REF!,4,0)*(+BO66+BP66)</f>
        <v>#REF!</v>
      </c>
      <c r="BS66" s="47" t="e">
        <f>VLOOKUP($AB66,#REF!,4,0)*(+BO66+BP66)</f>
        <v>#REF!</v>
      </c>
      <c r="BV66" s="47"/>
      <c r="BX66" s="47" t="e">
        <f>-SUM(BO66:BS66)</f>
        <v>#REF!</v>
      </c>
      <c r="BY66" s="47" t="e">
        <f t="shared" si="18"/>
        <v>#REF!</v>
      </c>
      <c r="CD66" s="47" t="e">
        <f t="shared" si="38"/>
        <v>#REF!</v>
      </c>
      <c r="CE66" s="66"/>
      <c r="CF66" s="47" t="e">
        <f t="shared" si="8"/>
        <v>#REF!</v>
      </c>
      <c r="CG66" s="47"/>
      <c r="CI66" s="47" t="e">
        <f>VLOOKUP($AA66,#REF!,5,0)*(+CF66+CG66)</f>
        <v>#REF!</v>
      </c>
      <c r="CJ66" s="47" t="e">
        <f>VLOOKUP($AB66,#REF!,5,0)*(+CF66+CG66)</f>
        <v>#REF!</v>
      </c>
      <c r="CM66" s="47"/>
      <c r="CO66" s="47" t="e">
        <f t="shared" si="39"/>
        <v>#REF!</v>
      </c>
      <c r="CT66" s="47" t="e">
        <f t="shared" si="40"/>
        <v>#REF!</v>
      </c>
      <c r="CU66" s="66"/>
      <c r="CV66" s="47" t="e">
        <f t="shared" si="11"/>
        <v>#REF!</v>
      </c>
      <c r="CW66" s="47"/>
      <c r="CY66" s="47" t="e">
        <f>VLOOKUP($AA66,#REF!,6,0)*(+CV66+CW66)</f>
        <v>#REF!</v>
      </c>
      <c r="CZ66" s="47" t="e">
        <f>VLOOKUP($AB66,#REF!,6,0)*(+CV66+CW66)</f>
        <v>#REF!</v>
      </c>
      <c r="DC66" s="47"/>
      <c r="DE66" s="47" t="e">
        <f t="shared" si="41"/>
        <v>#REF!</v>
      </c>
      <c r="DJ66" s="47" t="e">
        <f t="shared" si="42"/>
        <v>#REF!</v>
      </c>
      <c r="DK66" s="66"/>
      <c r="DL66" s="47" t="e">
        <f t="shared" si="59"/>
        <v>#REF!</v>
      </c>
      <c r="DM66" s="47"/>
      <c r="DO66" s="47" t="e">
        <f>VLOOKUP($AA66,#REF!,7,0)*(+DL66+DM66)</f>
        <v>#REF!</v>
      </c>
      <c r="DP66" s="47" t="e">
        <f>VLOOKUP($AB66,#REF!,7,0)*(+DL66+DM66)</f>
        <v>#REF!</v>
      </c>
      <c r="DS66" s="47"/>
      <c r="DU66" s="47" t="e">
        <f t="shared" si="61"/>
        <v>#REF!</v>
      </c>
      <c r="DZ66" s="47" t="e">
        <f t="shared" si="62"/>
        <v>#REF!</v>
      </c>
      <c r="EA66" s="66"/>
    </row>
    <row r="67" spans="1:131" x14ac:dyDescent="0.2">
      <c r="A67" s="38" t="s">
        <v>380</v>
      </c>
      <c r="B67" s="39" t="s">
        <v>169</v>
      </c>
      <c r="C67" s="39" t="s">
        <v>170</v>
      </c>
      <c r="D67" s="39"/>
      <c r="E67" s="40">
        <v>486497</v>
      </c>
      <c r="F67" s="41"/>
      <c r="G67" s="41"/>
      <c r="H67" s="41"/>
      <c r="I67" s="41"/>
      <c r="J67" s="41"/>
      <c r="K67" s="51"/>
      <c r="L67" s="41"/>
      <c r="M67" s="41"/>
      <c r="N67" s="41"/>
      <c r="O67" s="41"/>
      <c r="P67" s="41"/>
      <c r="Q67" s="41"/>
      <c r="R67" s="41"/>
      <c r="S67" s="41"/>
      <c r="T67" s="42">
        <f t="shared" si="33"/>
        <v>486497</v>
      </c>
      <c r="U67" s="43"/>
      <c r="V67" s="139">
        <v>486497</v>
      </c>
      <c r="W67" s="143" t="s">
        <v>368</v>
      </c>
      <c r="X67" s="143">
        <v>11</v>
      </c>
      <c r="Y67" s="171" t="s">
        <v>423</v>
      </c>
      <c r="Z67" s="171" t="s">
        <v>430</v>
      </c>
      <c r="AA67" s="247" t="s">
        <v>514</v>
      </c>
      <c r="AB67" s="187" t="s">
        <v>459</v>
      </c>
      <c r="AC67" s="10"/>
      <c r="AD67" s="13">
        <v>14594.91</v>
      </c>
      <c r="AE67" s="10"/>
      <c r="AF67" s="10"/>
      <c r="AG67" s="45"/>
      <c r="AH67" s="45"/>
      <c r="AI67" s="45"/>
      <c r="AJ67" s="41"/>
      <c r="AK67" s="45"/>
      <c r="AL67" s="45"/>
      <c r="AN67" s="128">
        <v>0</v>
      </c>
      <c r="AO67" s="45"/>
      <c r="AP67" s="46">
        <f t="shared" si="34"/>
        <v>501091.91</v>
      </c>
      <c r="AQ67" s="47"/>
      <c r="AW67" s="48">
        <f t="shared" si="35"/>
        <v>501091.91</v>
      </c>
      <c r="AX67" s="66"/>
      <c r="AY67" s="47">
        <f t="shared" si="4"/>
        <v>501091.91</v>
      </c>
      <c r="AZ67" s="47"/>
      <c r="BB67" s="47" t="e">
        <f>VLOOKUP($AA67,#REF!,3,0)*(+AY67+AZ67)</f>
        <v>#REF!</v>
      </c>
      <c r="BC67" s="47" t="e">
        <f>VLOOKUP($AB67,#REF!,3,0)*(+AY67+AZ67)</f>
        <v>#REF!</v>
      </c>
      <c r="BE67" s="47"/>
      <c r="BH67" s="47" t="e">
        <f t="shared" si="36"/>
        <v>#REF!</v>
      </c>
      <c r="BM67" s="47" t="e">
        <f t="shared" si="37"/>
        <v>#REF!</v>
      </c>
      <c r="BN67" s="66"/>
      <c r="BO67" s="47" t="e">
        <f t="shared" si="6"/>
        <v>#REF!</v>
      </c>
      <c r="BP67" s="47"/>
      <c r="BR67" s="47" t="e">
        <f>VLOOKUP($AA67,#REF!,4,0)*(+BO67+BP67)</f>
        <v>#REF!</v>
      </c>
      <c r="BS67" s="47" t="e">
        <f>VLOOKUP($AB67,#REF!,4,0)*(+BO67+BP67)</f>
        <v>#REF!</v>
      </c>
      <c r="BV67" s="47"/>
      <c r="BX67" s="47"/>
      <c r="BY67" s="47" t="e">
        <f t="shared" si="18"/>
        <v>#REF!</v>
      </c>
      <c r="CD67" s="47" t="e">
        <f t="shared" si="38"/>
        <v>#REF!</v>
      </c>
      <c r="CE67" s="66"/>
      <c r="CF67" s="47" t="e">
        <f t="shared" si="8"/>
        <v>#REF!</v>
      </c>
      <c r="CG67" s="47"/>
      <c r="CI67" s="47" t="e">
        <f>VLOOKUP($AA67,#REF!,5,0)*(+CF67+CG67)</f>
        <v>#REF!</v>
      </c>
      <c r="CJ67" s="47" t="e">
        <f>VLOOKUP($AB67,#REF!,5,0)*(+CF67+CG67)</f>
        <v>#REF!</v>
      </c>
      <c r="CM67" s="47"/>
      <c r="CO67" s="47" t="e">
        <f t="shared" si="39"/>
        <v>#REF!</v>
      </c>
      <c r="CT67" s="47" t="e">
        <f t="shared" si="40"/>
        <v>#REF!</v>
      </c>
      <c r="CU67" s="66"/>
      <c r="CV67" s="47" t="e">
        <f t="shared" si="11"/>
        <v>#REF!</v>
      </c>
      <c r="CW67" s="47"/>
      <c r="CY67" s="47" t="e">
        <f>VLOOKUP($AA67,#REF!,6,0)*(+CV67+CW67)</f>
        <v>#REF!</v>
      </c>
      <c r="CZ67" s="47" t="e">
        <f>VLOOKUP($AB67,#REF!,6,0)*(+CV67+CW67)</f>
        <v>#REF!</v>
      </c>
      <c r="DC67" s="47"/>
      <c r="DE67" s="47" t="e">
        <f t="shared" si="41"/>
        <v>#REF!</v>
      </c>
      <c r="DJ67" s="47" t="e">
        <f t="shared" si="42"/>
        <v>#REF!</v>
      </c>
      <c r="DK67" s="66"/>
      <c r="DL67" s="47" t="e">
        <f t="shared" si="59"/>
        <v>#REF!</v>
      </c>
      <c r="DM67" s="47"/>
      <c r="DO67" s="47" t="e">
        <f>VLOOKUP($AA67,#REF!,7,0)*(+DL67+DM67)</f>
        <v>#REF!</v>
      </c>
      <c r="DP67" s="47" t="e">
        <f>VLOOKUP($AB67,#REF!,7,0)*(+DL67+DM67)</f>
        <v>#REF!</v>
      </c>
      <c r="DS67" s="47"/>
      <c r="DU67" s="47" t="e">
        <f t="shared" si="61"/>
        <v>#REF!</v>
      </c>
      <c r="DZ67" s="47" t="e">
        <f t="shared" si="62"/>
        <v>#REF!</v>
      </c>
      <c r="EA67" s="66"/>
    </row>
    <row r="68" spans="1:131" x14ac:dyDescent="0.2">
      <c r="A68" s="38" t="s">
        <v>380</v>
      </c>
      <c r="B68" s="39" t="s">
        <v>171</v>
      </c>
      <c r="C68" s="39" t="s">
        <v>172</v>
      </c>
      <c r="D68" s="39"/>
      <c r="E68" s="40">
        <v>258262</v>
      </c>
      <c r="F68" s="41"/>
      <c r="G68" s="41"/>
      <c r="H68" s="41"/>
      <c r="I68" s="41"/>
      <c r="J68" s="41"/>
      <c r="K68" s="51"/>
      <c r="L68" s="41"/>
      <c r="M68" s="41"/>
      <c r="N68" s="41"/>
      <c r="O68" s="41"/>
      <c r="P68" s="41"/>
      <c r="Q68" s="41"/>
      <c r="R68" s="41"/>
      <c r="S68" s="41"/>
      <c r="T68" s="42">
        <f t="shared" si="33"/>
        <v>258262</v>
      </c>
      <c r="U68" s="43"/>
      <c r="V68" s="139">
        <v>258262</v>
      </c>
      <c r="W68" s="143" t="s">
        <v>368</v>
      </c>
      <c r="X68" s="143">
        <v>11</v>
      </c>
      <c r="Y68" s="171" t="s">
        <v>423</v>
      </c>
      <c r="Z68" s="171" t="s">
        <v>430</v>
      </c>
      <c r="AA68" s="247" t="s">
        <v>514</v>
      </c>
      <c r="AB68" s="187" t="s">
        <v>459</v>
      </c>
      <c r="AC68" s="10"/>
      <c r="AD68" s="13">
        <v>7747.86</v>
      </c>
      <c r="AE68" s="10"/>
      <c r="AF68" s="10"/>
      <c r="AG68" s="45"/>
      <c r="AH68" s="45"/>
      <c r="AI68" s="45"/>
      <c r="AJ68" s="41"/>
      <c r="AK68" s="45"/>
      <c r="AL68" s="45"/>
      <c r="AN68" s="128">
        <v>0</v>
      </c>
      <c r="AO68" s="45"/>
      <c r="AP68" s="46">
        <f t="shared" si="34"/>
        <v>266009.86</v>
      </c>
      <c r="AQ68" s="47"/>
      <c r="AW68" s="48">
        <f t="shared" si="35"/>
        <v>266009.86</v>
      </c>
      <c r="AX68" s="66"/>
      <c r="AY68" s="47">
        <f t="shared" si="4"/>
        <v>266009.86</v>
      </c>
      <c r="AZ68" s="47"/>
      <c r="BB68" s="47" t="e">
        <f>VLOOKUP($AA68,#REF!,3,0)*(+AY68+AZ68)</f>
        <v>#REF!</v>
      </c>
      <c r="BC68" s="47" t="e">
        <f>VLOOKUP($AB68,#REF!,3,0)*(+AY68+AZ68)</f>
        <v>#REF!</v>
      </c>
      <c r="BE68" s="47"/>
      <c r="BH68" s="47" t="e">
        <f t="shared" si="36"/>
        <v>#REF!</v>
      </c>
      <c r="BM68" s="47" t="e">
        <f t="shared" si="37"/>
        <v>#REF!</v>
      </c>
      <c r="BN68" s="66"/>
      <c r="BO68" s="47" t="e">
        <f t="shared" si="6"/>
        <v>#REF!</v>
      </c>
      <c r="BP68" s="47"/>
      <c r="BR68" s="47" t="e">
        <f>VLOOKUP($AA68,#REF!,4,0)*(+BO68+BP68)</f>
        <v>#REF!</v>
      </c>
      <c r="BS68" s="47" t="e">
        <f>VLOOKUP($AB68,#REF!,4,0)*(+BO68+BP68)</f>
        <v>#REF!</v>
      </c>
      <c r="BV68" s="47"/>
      <c r="BX68" s="47"/>
      <c r="BY68" s="47" t="e">
        <f t="shared" si="18"/>
        <v>#REF!</v>
      </c>
      <c r="CD68" s="47" t="e">
        <f t="shared" si="38"/>
        <v>#REF!</v>
      </c>
      <c r="CE68" s="66"/>
      <c r="CF68" s="47" t="e">
        <f t="shared" si="8"/>
        <v>#REF!</v>
      </c>
      <c r="CG68" s="47"/>
      <c r="CI68" s="47" t="e">
        <f>VLOOKUP($AA68,#REF!,5,0)*(+CF68+CG68)</f>
        <v>#REF!</v>
      </c>
      <c r="CJ68" s="47" t="e">
        <f>VLOOKUP($AB68,#REF!,5,0)*(+CF68+CG68)</f>
        <v>#REF!</v>
      </c>
      <c r="CM68" s="47"/>
      <c r="CO68" s="47" t="e">
        <f t="shared" si="39"/>
        <v>#REF!</v>
      </c>
      <c r="CT68" s="47" t="e">
        <f t="shared" si="40"/>
        <v>#REF!</v>
      </c>
      <c r="CU68" s="66"/>
      <c r="CV68" s="47" t="e">
        <f t="shared" si="11"/>
        <v>#REF!</v>
      </c>
      <c r="CW68" s="47"/>
      <c r="CY68" s="47" t="e">
        <f>VLOOKUP($AA68,#REF!,6,0)*(+CV68+CW68)</f>
        <v>#REF!</v>
      </c>
      <c r="CZ68" s="47" t="e">
        <f>VLOOKUP($AB68,#REF!,6,0)*(+CV68+CW68)</f>
        <v>#REF!</v>
      </c>
      <c r="DC68" s="47"/>
      <c r="DE68" s="47" t="e">
        <f t="shared" si="41"/>
        <v>#REF!</v>
      </c>
      <c r="DJ68" s="47" t="e">
        <f t="shared" si="42"/>
        <v>#REF!</v>
      </c>
      <c r="DK68" s="66"/>
      <c r="DL68" s="47" t="e">
        <f t="shared" si="59"/>
        <v>#REF!</v>
      </c>
      <c r="DM68" s="47"/>
      <c r="DO68" s="47" t="e">
        <f>VLOOKUP($AA68,#REF!,7,0)*(+DL68+DM68)</f>
        <v>#REF!</v>
      </c>
      <c r="DP68" s="47" t="e">
        <f>VLOOKUP($AB68,#REF!,7,0)*(+DL68+DM68)</f>
        <v>#REF!</v>
      </c>
      <c r="DS68" s="47"/>
      <c r="DU68" s="47" t="e">
        <f t="shared" si="61"/>
        <v>#REF!</v>
      </c>
      <c r="DZ68" s="47" t="e">
        <f t="shared" si="62"/>
        <v>#REF!</v>
      </c>
      <c r="EA68" s="66"/>
    </row>
    <row r="69" spans="1:131" x14ac:dyDescent="0.2">
      <c r="A69" s="38" t="s">
        <v>380</v>
      </c>
      <c r="B69" s="39" t="s">
        <v>173</v>
      </c>
      <c r="C69" s="39" t="s">
        <v>174</v>
      </c>
      <c r="D69" s="39"/>
      <c r="E69" s="40">
        <v>20400</v>
      </c>
      <c r="F69" s="41"/>
      <c r="G69" s="41"/>
      <c r="H69" s="41"/>
      <c r="I69" s="41"/>
      <c r="J69" s="41"/>
      <c r="K69" s="51"/>
      <c r="L69" s="41"/>
      <c r="M69" s="41"/>
      <c r="N69" s="41"/>
      <c r="O69" s="41"/>
      <c r="P69" s="41"/>
      <c r="Q69" s="41"/>
      <c r="R69" s="41"/>
      <c r="S69" s="41"/>
      <c r="T69" s="42">
        <f t="shared" si="33"/>
        <v>20400</v>
      </c>
      <c r="U69" s="43"/>
      <c r="V69" s="139">
        <v>20400</v>
      </c>
      <c r="W69" s="143" t="s">
        <v>368</v>
      </c>
      <c r="X69" s="143">
        <v>11</v>
      </c>
      <c r="Y69" s="171" t="s">
        <v>423</v>
      </c>
      <c r="Z69" s="171" t="s">
        <v>430</v>
      </c>
      <c r="AA69" s="247" t="s">
        <v>514</v>
      </c>
      <c r="AB69" s="187" t="s">
        <v>459</v>
      </c>
      <c r="AC69" s="10"/>
      <c r="AD69" s="13">
        <v>612</v>
      </c>
      <c r="AE69" s="10"/>
      <c r="AF69" s="10"/>
      <c r="AG69" s="45"/>
      <c r="AH69" s="45"/>
      <c r="AI69" s="45"/>
      <c r="AJ69" s="41"/>
      <c r="AK69" s="45"/>
      <c r="AL69" s="45"/>
      <c r="AN69" s="128">
        <v>0</v>
      </c>
      <c r="AO69" s="45"/>
      <c r="AP69" s="46">
        <f t="shared" si="34"/>
        <v>21012</v>
      </c>
      <c r="AQ69" s="47"/>
      <c r="AW69" s="48">
        <f t="shared" si="35"/>
        <v>21012</v>
      </c>
      <c r="AX69" s="66"/>
      <c r="AY69" s="47">
        <f t="shared" si="4"/>
        <v>21012</v>
      </c>
      <c r="AZ69" s="47"/>
      <c r="BB69" s="47" t="e">
        <f>VLOOKUP($AA69,#REF!,3,0)*(+AY69+AZ69)</f>
        <v>#REF!</v>
      </c>
      <c r="BC69" s="47" t="e">
        <f>VLOOKUP($AB69,#REF!,3,0)*(+AY69+AZ69)</f>
        <v>#REF!</v>
      </c>
      <c r="BE69" s="47"/>
      <c r="BH69" s="47" t="e">
        <f t="shared" si="36"/>
        <v>#REF!</v>
      </c>
      <c r="BM69" s="47" t="e">
        <f t="shared" si="37"/>
        <v>#REF!</v>
      </c>
      <c r="BN69" s="66"/>
      <c r="BO69" s="47" t="e">
        <f t="shared" si="6"/>
        <v>#REF!</v>
      </c>
      <c r="BP69" s="47"/>
      <c r="BR69" s="47" t="e">
        <f>VLOOKUP($AA69,#REF!,4,0)*(+BO69+BP69)</f>
        <v>#REF!</v>
      </c>
      <c r="BS69" s="47" t="e">
        <f>VLOOKUP($AB69,#REF!,4,0)*(+BO69+BP69)</f>
        <v>#REF!</v>
      </c>
      <c r="BV69" s="47"/>
      <c r="BX69" s="47"/>
      <c r="BY69" s="47" t="e">
        <f t="shared" si="18"/>
        <v>#REF!</v>
      </c>
      <c r="CD69" s="47" t="e">
        <f t="shared" si="38"/>
        <v>#REF!</v>
      </c>
      <c r="CE69" s="66"/>
      <c r="CF69" s="47" t="e">
        <f t="shared" si="8"/>
        <v>#REF!</v>
      </c>
      <c r="CG69" s="47"/>
      <c r="CI69" s="47" t="e">
        <f>VLOOKUP($AA69,#REF!,5,0)*(+CF69+CG69)</f>
        <v>#REF!</v>
      </c>
      <c r="CJ69" s="47" t="e">
        <f>VLOOKUP($AB69,#REF!,5,0)*(+CF69+CG69)</f>
        <v>#REF!</v>
      </c>
      <c r="CM69" s="47"/>
      <c r="CO69" s="47" t="e">
        <f t="shared" si="39"/>
        <v>#REF!</v>
      </c>
      <c r="CT69" s="47" t="e">
        <f t="shared" si="40"/>
        <v>#REF!</v>
      </c>
      <c r="CU69" s="66"/>
      <c r="CV69" s="47" t="e">
        <f t="shared" si="11"/>
        <v>#REF!</v>
      </c>
      <c r="CW69" s="47"/>
      <c r="CY69" s="47" t="e">
        <f>VLOOKUP($AA69,#REF!,6,0)*(+CV69+CW69)</f>
        <v>#REF!</v>
      </c>
      <c r="CZ69" s="47" t="e">
        <f>VLOOKUP($AB69,#REF!,6,0)*(+CV69+CW69)</f>
        <v>#REF!</v>
      </c>
      <c r="DC69" s="47"/>
      <c r="DE69" s="47" t="e">
        <f t="shared" si="41"/>
        <v>#REF!</v>
      </c>
      <c r="DJ69" s="47" t="e">
        <f t="shared" si="42"/>
        <v>#REF!</v>
      </c>
      <c r="DK69" s="66"/>
      <c r="DL69" s="47" t="e">
        <f t="shared" si="59"/>
        <v>#REF!</v>
      </c>
      <c r="DM69" s="47"/>
      <c r="DO69" s="47" t="e">
        <f>VLOOKUP($AA69,#REF!,7,0)*(+DL69+DM69)</f>
        <v>#REF!</v>
      </c>
      <c r="DP69" s="47" t="e">
        <f>VLOOKUP($AB69,#REF!,7,0)*(+DL69+DM69)</f>
        <v>#REF!</v>
      </c>
      <c r="DS69" s="47"/>
      <c r="DU69" s="47" t="e">
        <f t="shared" si="61"/>
        <v>#REF!</v>
      </c>
      <c r="DZ69" s="47" t="e">
        <f t="shared" si="62"/>
        <v>#REF!</v>
      </c>
      <c r="EA69" s="66"/>
    </row>
    <row r="70" spans="1:131" x14ac:dyDescent="0.2">
      <c r="A70" s="38" t="s">
        <v>380</v>
      </c>
      <c r="B70" s="56" t="s">
        <v>175</v>
      </c>
      <c r="C70" s="54" t="s">
        <v>176</v>
      </c>
      <c r="D70" s="54"/>
      <c r="E70" s="57">
        <v>205886</v>
      </c>
      <c r="F70" s="58"/>
      <c r="G70" s="58"/>
      <c r="H70" s="58"/>
      <c r="I70" s="58"/>
      <c r="J70" s="58"/>
      <c r="K70" s="102"/>
      <c r="L70" s="58"/>
      <c r="M70" s="58"/>
      <c r="N70" s="58"/>
      <c r="O70" s="58"/>
      <c r="P70" s="58"/>
      <c r="Q70" s="58"/>
      <c r="R70" s="58"/>
      <c r="S70" s="58"/>
      <c r="T70" s="42">
        <f t="shared" si="33"/>
        <v>205886</v>
      </c>
      <c r="U70" s="43"/>
      <c r="V70" s="139">
        <v>205886</v>
      </c>
      <c r="W70" s="143" t="s">
        <v>368</v>
      </c>
      <c r="X70" s="143">
        <v>11</v>
      </c>
      <c r="Y70" s="171" t="s">
        <v>423</v>
      </c>
      <c r="Z70" s="171" t="s">
        <v>430</v>
      </c>
      <c r="AA70" s="247" t="s">
        <v>514</v>
      </c>
      <c r="AB70" s="187" t="s">
        <v>459</v>
      </c>
      <c r="AC70" s="34"/>
      <c r="AD70" s="35">
        <v>6176.58</v>
      </c>
      <c r="AE70" s="34"/>
      <c r="AF70" s="34"/>
      <c r="AG70" s="55"/>
      <c r="AH70" s="55"/>
      <c r="AI70" s="55"/>
      <c r="AJ70" s="58"/>
      <c r="AK70" s="55"/>
      <c r="AL70" s="55"/>
      <c r="AN70" s="128">
        <v>0</v>
      </c>
      <c r="AO70" s="55"/>
      <c r="AP70" s="46">
        <f t="shared" si="34"/>
        <v>212062.58</v>
      </c>
      <c r="AQ70" s="47"/>
      <c r="AW70" s="48">
        <f t="shared" si="35"/>
        <v>212062.58</v>
      </c>
      <c r="AX70" s="66"/>
      <c r="AY70" s="47">
        <f t="shared" si="4"/>
        <v>212062.58</v>
      </c>
      <c r="AZ70" s="47"/>
      <c r="BB70" s="47" t="e">
        <f>VLOOKUP($AA70,#REF!,3,0)*(+AY70+AZ70)</f>
        <v>#REF!</v>
      </c>
      <c r="BC70" s="47" t="e">
        <f>VLOOKUP($AB70,#REF!,3,0)*(+AY70+AZ70)</f>
        <v>#REF!</v>
      </c>
      <c r="BE70" s="47"/>
      <c r="BH70" s="47" t="e">
        <f t="shared" si="36"/>
        <v>#REF!</v>
      </c>
      <c r="BM70" s="47" t="e">
        <f t="shared" si="37"/>
        <v>#REF!</v>
      </c>
      <c r="BN70" s="66"/>
      <c r="BO70" s="47" t="e">
        <f t="shared" si="6"/>
        <v>#REF!</v>
      </c>
      <c r="BP70" s="47"/>
      <c r="BR70" s="47" t="e">
        <f>VLOOKUP($AA70,#REF!,4,0)*(+BO70+BP70)</f>
        <v>#REF!</v>
      </c>
      <c r="BS70" s="47" t="e">
        <f>VLOOKUP($AB70,#REF!,4,0)*(+BO70+BP70)</f>
        <v>#REF!</v>
      </c>
      <c r="BV70" s="47"/>
      <c r="BX70" s="47"/>
      <c r="BY70" s="47" t="e">
        <f t="shared" si="18"/>
        <v>#REF!</v>
      </c>
      <c r="CD70" s="47" t="e">
        <f t="shared" si="38"/>
        <v>#REF!</v>
      </c>
      <c r="CE70" s="66"/>
      <c r="CF70" s="47" t="e">
        <f t="shared" si="8"/>
        <v>#REF!</v>
      </c>
      <c r="CG70" s="47"/>
      <c r="CI70" s="47" t="e">
        <f>VLOOKUP($AA70,#REF!,5,0)*(+CF70+CG70)</f>
        <v>#REF!</v>
      </c>
      <c r="CJ70" s="47" t="e">
        <f>VLOOKUP($AB70,#REF!,5,0)*(+CF70+CG70)</f>
        <v>#REF!</v>
      </c>
      <c r="CM70" s="47"/>
      <c r="CO70" s="47" t="e">
        <f t="shared" si="39"/>
        <v>#REF!</v>
      </c>
      <c r="CT70" s="47" t="e">
        <f t="shared" si="40"/>
        <v>#REF!</v>
      </c>
      <c r="CU70" s="66"/>
      <c r="CV70" s="47" t="e">
        <f t="shared" si="11"/>
        <v>#REF!</v>
      </c>
      <c r="CW70" s="47"/>
      <c r="CY70" s="47" t="e">
        <f>VLOOKUP($AA70,#REF!,6,0)*(+CV70+CW70)</f>
        <v>#REF!</v>
      </c>
      <c r="CZ70" s="47" t="e">
        <f>VLOOKUP($AB70,#REF!,6,0)*(+CV70+CW70)</f>
        <v>#REF!</v>
      </c>
      <c r="DC70" s="47"/>
      <c r="DE70" s="47" t="e">
        <f t="shared" si="41"/>
        <v>#REF!</v>
      </c>
      <c r="DJ70" s="47" t="e">
        <f t="shared" si="42"/>
        <v>#REF!</v>
      </c>
      <c r="DK70" s="66"/>
      <c r="DL70" s="47" t="e">
        <f t="shared" si="59"/>
        <v>#REF!</v>
      </c>
      <c r="DM70" s="47"/>
      <c r="DO70" s="47" t="e">
        <f>VLOOKUP($AA70,#REF!,7,0)*(+DL70+DM70)</f>
        <v>#REF!</v>
      </c>
      <c r="DP70" s="47" t="e">
        <f>VLOOKUP($AB70,#REF!,7,0)*(+DL70+DM70)</f>
        <v>#REF!</v>
      </c>
      <c r="DS70" s="47"/>
      <c r="DU70" s="47" t="e">
        <f t="shared" si="61"/>
        <v>#REF!</v>
      </c>
      <c r="DZ70" s="47" t="e">
        <f t="shared" si="62"/>
        <v>#REF!</v>
      </c>
      <c r="EA70" s="66"/>
    </row>
    <row r="71" spans="1:131" x14ac:dyDescent="0.2">
      <c r="A71" s="38" t="s">
        <v>380</v>
      </c>
      <c r="B71" s="56" t="s">
        <v>177</v>
      </c>
      <c r="C71" s="54" t="s">
        <v>178</v>
      </c>
      <c r="D71" s="54"/>
      <c r="E71" s="57">
        <v>25300</v>
      </c>
      <c r="F71" s="58"/>
      <c r="G71" s="58"/>
      <c r="H71" s="58"/>
      <c r="I71" s="58"/>
      <c r="J71" s="58"/>
      <c r="K71" s="102"/>
      <c r="L71" s="58"/>
      <c r="M71" s="58"/>
      <c r="N71" s="58"/>
      <c r="O71" s="58"/>
      <c r="P71" s="58"/>
      <c r="Q71" s="58"/>
      <c r="R71" s="58"/>
      <c r="S71" s="58"/>
      <c r="T71" s="42">
        <f t="shared" si="33"/>
        <v>25300</v>
      </c>
      <c r="U71" s="43"/>
      <c r="V71" s="139">
        <v>25300</v>
      </c>
      <c r="W71" s="143" t="s">
        <v>368</v>
      </c>
      <c r="X71" s="143">
        <v>11</v>
      </c>
      <c r="Y71" s="171" t="s">
        <v>423</v>
      </c>
      <c r="Z71" s="171" t="s">
        <v>430</v>
      </c>
      <c r="AA71" s="247" t="s">
        <v>514</v>
      </c>
      <c r="AB71" s="187" t="s">
        <v>459</v>
      </c>
      <c r="AC71" s="34"/>
      <c r="AD71" s="35">
        <v>759</v>
      </c>
      <c r="AE71" s="34"/>
      <c r="AF71" s="34"/>
      <c r="AG71" s="55"/>
      <c r="AH71" s="55"/>
      <c r="AI71" s="55"/>
      <c r="AJ71" s="58"/>
      <c r="AK71" s="55"/>
      <c r="AL71" s="55"/>
      <c r="AN71" s="128">
        <v>0</v>
      </c>
      <c r="AO71" s="55"/>
      <c r="AP71" s="46">
        <f t="shared" si="34"/>
        <v>26059</v>
      </c>
      <c r="AQ71" s="47"/>
      <c r="AW71" s="48">
        <f t="shared" si="35"/>
        <v>26059</v>
      </c>
      <c r="AX71" s="66"/>
      <c r="AY71" s="47">
        <f t="shared" si="4"/>
        <v>26059</v>
      </c>
      <c r="AZ71" s="47"/>
      <c r="BB71" s="47" t="e">
        <f>VLOOKUP($AA71,#REF!,3,0)*(+AY71+AZ71)</f>
        <v>#REF!</v>
      </c>
      <c r="BC71" s="47" t="e">
        <f>VLOOKUP($AB71,#REF!,3,0)*(+AY71+AZ71)</f>
        <v>#REF!</v>
      </c>
      <c r="BE71" s="47"/>
      <c r="BH71" s="47" t="e">
        <f t="shared" si="36"/>
        <v>#REF!</v>
      </c>
      <c r="BM71" s="47" t="e">
        <f t="shared" si="37"/>
        <v>#REF!</v>
      </c>
      <c r="BN71" s="66"/>
      <c r="BO71" s="47" t="e">
        <f t="shared" si="6"/>
        <v>#REF!</v>
      </c>
      <c r="BP71" s="47"/>
      <c r="BR71" s="47" t="e">
        <f>VLOOKUP($AA71,#REF!,4,0)*(+BO71+BP71)</f>
        <v>#REF!</v>
      </c>
      <c r="BS71" s="47" t="e">
        <f>VLOOKUP($AB71,#REF!,4,0)*(+BO71+BP71)</f>
        <v>#REF!</v>
      </c>
      <c r="BV71" s="47"/>
      <c r="BX71" s="47"/>
      <c r="BY71" s="47" t="e">
        <f t="shared" ref="BY71:BY135" si="63">SUM(BO71:BX71)</f>
        <v>#REF!</v>
      </c>
      <c r="CD71" s="47" t="e">
        <f t="shared" si="38"/>
        <v>#REF!</v>
      </c>
      <c r="CE71" s="66"/>
      <c r="CF71" s="47" t="e">
        <f t="shared" si="8"/>
        <v>#REF!</v>
      </c>
      <c r="CG71" s="47"/>
      <c r="CI71" s="47" t="e">
        <f>VLOOKUP($AA71,#REF!,5,0)*(+CF71+CG71)</f>
        <v>#REF!</v>
      </c>
      <c r="CJ71" s="47" t="e">
        <f>VLOOKUP($AB71,#REF!,5,0)*(+CF71+CG71)</f>
        <v>#REF!</v>
      </c>
      <c r="CM71" s="47"/>
      <c r="CO71" s="47" t="e">
        <f t="shared" si="39"/>
        <v>#REF!</v>
      </c>
      <c r="CT71" s="47" t="e">
        <f t="shared" si="40"/>
        <v>#REF!</v>
      </c>
      <c r="CU71" s="66"/>
      <c r="CV71" s="47" t="e">
        <f t="shared" si="11"/>
        <v>#REF!</v>
      </c>
      <c r="CW71" s="47"/>
      <c r="CY71" s="47" t="e">
        <f>VLOOKUP($AA71,#REF!,6,0)*(+CV71+CW71)</f>
        <v>#REF!</v>
      </c>
      <c r="CZ71" s="47" t="e">
        <f>VLOOKUP($AB71,#REF!,6,0)*(+CV71+CW71)</f>
        <v>#REF!</v>
      </c>
      <c r="DC71" s="47"/>
      <c r="DE71" s="47" t="e">
        <f t="shared" si="41"/>
        <v>#REF!</v>
      </c>
      <c r="DJ71" s="47" t="e">
        <f t="shared" si="42"/>
        <v>#REF!</v>
      </c>
      <c r="DK71" s="66"/>
      <c r="DL71" s="47" t="e">
        <f t="shared" si="59"/>
        <v>#REF!</v>
      </c>
      <c r="DM71" s="47"/>
      <c r="DO71" s="47" t="e">
        <f>VLOOKUP($AA71,#REF!,7,0)*(+DL71+DM71)</f>
        <v>#REF!</v>
      </c>
      <c r="DP71" s="47" t="e">
        <f>VLOOKUP($AB71,#REF!,7,0)*(+DL71+DM71)</f>
        <v>#REF!</v>
      </c>
      <c r="DS71" s="47"/>
      <c r="DU71" s="47" t="e">
        <f t="shared" si="61"/>
        <v>#REF!</v>
      </c>
      <c r="DZ71" s="47" t="e">
        <f t="shared" si="62"/>
        <v>#REF!</v>
      </c>
      <c r="EA71" s="66"/>
    </row>
    <row r="72" spans="1:131" x14ac:dyDescent="0.2">
      <c r="A72" s="38" t="s">
        <v>380</v>
      </c>
      <c r="B72" s="56" t="s">
        <v>179</v>
      </c>
      <c r="C72" s="54" t="s">
        <v>180</v>
      </c>
      <c r="D72" s="54"/>
      <c r="E72" s="57">
        <v>32866</v>
      </c>
      <c r="F72" s="58"/>
      <c r="G72" s="58"/>
      <c r="H72" s="58"/>
      <c r="I72" s="58"/>
      <c r="J72" s="58"/>
      <c r="K72" s="102"/>
      <c r="L72" s="58"/>
      <c r="M72" s="58"/>
      <c r="N72" s="58"/>
      <c r="O72" s="58"/>
      <c r="P72" s="58"/>
      <c r="Q72" s="58"/>
      <c r="R72" s="58"/>
      <c r="S72" s="58"/>
      <c r="T72" s="42">
        <f t="shared" ref="T72:T104" si="64">SUM(E72:S72)</f>
        <v>32866</v>
      </c>
      <c r="U72" s="43"/>
      <c r="V72" s="139">
        <v>32866</v>
      </c>
      <c r="W72" s="143" t="s">
        <v>368</v>
      </c>
      <c r="X72" s="143">
        <v>11</v>
      </c>
      <c r="Y72" s="171" t="s">
        <v>423</v>
      </c>
      <c r="Z72" s="171" t="s">
        <v>430</v>
      </c>
      <c r="AA72" s="247" t="s">
        <v>514</v>
      </c>
      <c r="AB72" s="187" t="s">
        <v>459</v>
      </c>
      <c r="AC72" s="34"/>
      <c r="AD72" s="35">
        <v>985.98</v>
      </c>
      <c r="AE72" s="34"/>
      <c r="AF72" s="34"/>
      <c r="AG72" s="55"/>
      <c r="AH72" s="55"/>
      <c r="AI72" s="55"/>
      <c r="AJ72" s="58"/>
      <c r="AK72" s="55"/>
      <c r="AL72" s="55"/>
      <c r="AN72" s="128">
        <v>0</v>
      </c>
      <c r="AO72" s="55"/>
      <c r="AP72" s="46">
        <f t="shared" si="34"/>
        <v>33851.980000000003</v>
      </c>
      <c r="AQ72" s="47"/>
      <c r="AW72" s="48">
        <f t="shared" si="35"/>
        <v>33851.980000000003</v>
      </c>
      <c r="AX72" s="66"/>
      <c r="AY72" s="47">
        <f t="shared" ref="AY72:AY136" si="65">+AP72-AC72</f>
        <v>33851.980000000003</v>
      </c>
      <c r="AZ72" s="47"/>
      <c r="BB72" s="47" t="e">
        <f>VLOOKUP($AA72,#REF!,3,0)*(+AY72+AZ72)</f>
        <v>#REF!</v>
      </c>
      <c r="BC72" s="47" t="e">
        <f>VLOOKUP($AB72,#REF!,3,0)*(+AY72+AZ72)</f>
        <v>#REF!</v>
      </c>
      <c r="BE72" s="47"/>
      <c r="BH72" s="47" t="e">
        <f t="shared" si="36"/>
        <v>#REF!</v>
      </c>
      <c r="BM72" s="47" t="e">
        <f t="shared" si="37"/>
        <v>#REF!</v>
      </c>
      <c r="BN72" s="66"/>
      <c r="BO72" s="47" t="e">
        <f t="shared" ref="BO72:BO136" si="66">+BH72-BA72</f>
        <v>#REF!</v>
      </c>
      <c r="BP72" s="47"/>
      <c r="BR72" s="47" t="e">
        <f>VLOOKUP($AA72,#REF!,4,0)*(+BO72+BP72)</f>
        <v>#REF!</v>
      </c>
      <c r="BS72" s="47" t="e">
        <f>VLOOKUP($AB72,#REF!,4,0)*(+BO72+BP72)</f>
        <v>#REF!</v>
      </c>
      <c r="BV72" s="47"/>
      <c r="BX72" s="47"/>
      <c r="BY72" s="47" t="e">
        <f t="shared" si="63"/>
        <v>#REF!</v>
      </c>
      <c r="CD72" s="47" t="e">
        <f t="shared" si="38"/>
        <v>#REF!</v>
      </c>
      <c r="CE72" s="66"/>
      <c r="CF72" s="47" t="e">
        <f t="shared" ref="CF72:CF136" si="67">+BY72-BQ72</f>
        <v>#REF!</v>
      </c>
      <c r="CG72" s="47"/>
      <c r="CI72" s="47" t="e">
        <f>VLOOKUP($AA72,#REF!,5,0)*(+CF72+CG72)</f>
        <v>#REF!</v>
      </c>
      <c r="CJ72" s="47" t="e">
        <f>VLOOKUP($AB72,#REF!,5,0)*(+CF72+CG72)</f>
        <v>#REF!</v>
      </c>
      <c r="CM72" s="47"/>
      <c r="CO72" s="47" t="e">
        <f t="shared" si="39"/>
        <v>#REF!</v>
      </c>
      <c r="CT72" s="47" t="e">
        <f t="shared" si="40"/>
        <v>#REF!</v>
      </c>
      <c r="CU72" s="66"/>
      <c r="CV72" s="47" t="e">
        <f t="shared" ref="CV72:CV136" si="68">+CO72-CH72</f>
        <v>#REF!</v>
      </c>
      <c r="CW72" s="47"/>
      <c r="CY72" s="47" t="e">
        <f>VLOOKUP($AA72,#REF!,6,0)*(+CV72+CW72)</f>
        <v>#REF!</v>
      </c>
      <c r="CZ72" s="47" t="e">
        <f>VLOOKUP($AB72,#REF!,6,0)*(+CV72+CW72)</f>
        <v>#REF!</v>
      </c>
      <c r="DC72" s="47"/>
      <c r="DE72" s="47" t="e">
        <f t="shared" si="41"/>
        <v>#REF!</v>
      </c>
      <c r="DJ72" s="47" t="e">
        <f t="shared" si="42"/>
        <v>#REF!</v>
      </c>
      <c r="DK72" s="66"/>
      <c r="DL72" s="47" t="e">
        <f t="shared" si="59"/>
        <v>#REF!</v>
      </c>
      <c r="DM72" s="47"/>
      <c r="DO72" s="47" t="e">
        <f>VLOOKUP($AA72,#REF!,7,0)*(+DL72+DM72)</f>
        <v>#REF!</v>
      </c>
      <c r="DP72" s="47" t="e">
        <f>VLOOKUP($AB72,#REF!,7,0)*(+DL72+DM72)</f>
        <v>#REF!</v>
      </c>
      <c r="DS72" s="47"/>
      <c r="DU72" s="47" t="e">
        <f t="shared" si="61"/>
        <v>#REF!</v>
      </c>
      <c r="DZ72" s="47" t="e">
        <f t="shared" si="62"/>
        <v>#REF!</v>
      </c>
      <c r="EA72" s="66"/>
    </row>
    <row r="73" spans="1:131" x14ac:dyDescent="0.2">
      <c r="A73" s="38" t="s">
        <v>380</v>
      </c>
      <c r="B73" s="56" t="s">
        <v>181</v>
      </c>
      <c r="C73" s="54" t="s">
        <v>182</v>
      </c>
      <c r="D73" s="54"/>
      <c r="E73" s="57">
        <v>327090</v>
      </c>
      <c r="F73" s="58">
        <v>10000</v>
      </c>
      <c r="G73" s="58"/>
      <c r="H73" s="58"/>
      <c r="I73" s="58"/>
      <c r="J73" s="58"/>
      <c r="K73" s="102"/>
      <c r="L73" s="58"/>
      <c r="M73" s="58"/>
      <c r="N73" s="58"/>
      <c r="O73" s="58"/>
      <c r="P73" s="58"/>
      <c r="Q73" s="58"/>
      <c r="R73" s="58"/>
      <c r="S73" s="58"/>
      <c r="T73" s="42">
        <f t="shared" si="64"/>
        <v>337090</v>
      </c>
      <c r="U73" s="43"/>
      <c r="V73" s="139">
        <v>337090</v>
      </c>
      <c r="W73" s="143" t="s">
        <v>368</v>
      </c>
      <c r="X73" s="143">
        <v>11</v>
      </c>
      <c r="Y73" s="171" t="s">
        <v>423</v>
      </c>
      <c r="Z73" s="171" t="s">
        <v>430</v>
      </c>
      <c r="AA73" s="247" t="s">
        <v>514</v>
      </c>
      <c r="AB73" s="187" t="s">
        <v>459</v>
      </c>
      <c r="AC73" s="34"/>
      <c r="AD73" s="35">
        <v>10112.699999999999</v>
      </c>
      <c r="AE73" s="34"/>
      <c r="AF73" s="34"/>
      <c r="AG73" s="55"/>
      <c r="AH73" s="55"/>
      <c r="AI73" s="55"/>
      <c r="AJ73" s="58"/>
      <c r="AK73" s="55"/>
      <c r="AL73" s="55"/>
      <c r="AN73" s="128">
        <v>0</v>
      </c>
      <c r="AO73" s="55"/>
      <c r="AP73" s="46">
        <f t="shared" si="34"/>
        <v>347202.7</v>
      </c>
      <c r="AQ73" s="47"/>
      <c r="AW73" s="48">
        <f t="shared" si="35"/>
        <v>347202.7</v>
      </c>
      <c r="AX73" s="66"/>
      <c r="AY73" s="47">
        <f t="shared" si="65"/>
        <v>347202.7</v>
      </c>
      <c r="AZ73" s="47"/>
      <c r="BB73" s="47" t="e">
        <f>VLOOKUP($AA73,#REF!,3,0)*(+AY73+AZ73)</f>
        <v>#REF!</v>
      </c>
      <c r="BC73" s="47" t="e">
        <f>VLOOKUP($AB73,#REF!,3,0)*(+AY73+AZ73)</f>
        <v>#REF!</v>
      </c>
      <c r="BE73" s="47"/>
      <c r="BH73" s="47" t="e">
        <f t="shared" si="36"/>
        <v>#REF!</v>
      </c>
      <c r="BM73" s="47" t="e">
        <f t="shared" si="37"/>
        <v>#REF!</v>
      </c>
      <c r="BN73" s="66"/>
      <c r="BO73" s="47" t="e">
        <f t="shared" si="66"/>
        <v>#REF!</v>
      </c>
      <c r="BP73" s="47"/>
      <c r="BR73" s="47" t="e">
        <f>VLOOKUP($AA73,#REF!,4,0)*(+BO73+BP73)</f>
        <v>#REF!</v>
      </c>
      <c r="BS73" s="47" t="e">
        <f>VLOOKUP($AB73,#REF!,4,0)*(+BO73+BP73)</f>
        <v>#REF!</v>
      </c>
      <c r="BV73" s="47"/>
      <c r="BX73" s="47" t="e">
        <f>-SUM(BO73:BS73)</f>
        <v>#REF!</v>
      </c>
      <c r="BY73" s="47" t="e">
        <f t="shared" si="63"/>
        <v>#REF!</v>
      </c>
      <c r="CD73" s="47" t="e">
        <f t="shared" si="38"/>
        <v>#REF!</v>
      </c>
      <c r="CE73" s="66"/>
      <c r="CF73" s="47" t="e">
        <f t="shared" si="67"/>
        <v>#REF!</v>
      </c>
      <c r="CG73" s="47"/>
      <c r="CI73" s="47" t="e">
        <f>VLOOKUP($AA73,#REF!,5,0)*(+CF73+CG73)</f>
        <v>#REF!</v>
      </c>
      <c r="CJ73" s="47" t="e">
        <f>VLOOKUP($AB73,#REF!,5,0)*(+CF73+CG73)</f>
        <v>#REF!</v>
      </c>
      <c r="CM73" s="47"/>
      <c r="CO73" s="47" t="e">
        <f t="shared" si="39"/>
        <v>#REF!</v>
      </c>
      <c r="CT73" s="47" t="e">
        <f t="shared" si="40"/>
        <v>#REF!</v>
      </c>
      <c r="CU73" s="66"/>
      <c r="CV73" s="47" t="e">
        <f t="shared" si="68"/>
        <v>#REF!</v>
      </c>
      <c r="CW73" s="47"/>
      <c r="CY73" s="47" t="e">
        <f>VLOOKUP($AA73,#REF!,6,0)*(+CV73+CW73)</f>
        <v>#REF!</v>
      </c>
      <c r="CZ73" s="47" t="e">
        <f>VLOOKUP($AB73,#REF!,6,0)*(+CV73+CW73)</f>
        <v>#REF!</v>
      </c>
      <c r="DC73" s="47"/>
      <c r="DE73" s="47" t="e">
        <f t="shared" si="41"/>
        <v>#REF!</v>
      </c>
      <c r="DJ73" s="47" t="e">
        <f t="shared" si="42"/>
        <v>#REF!</v>
      </c>
      <c r="DK73" s="66"/>
      <c r="DL73" s="47" t="e">
        <f t="shared" si="59"/>
        <v>#REF!</v>
      </c>
      <c r="DM73" s="47"/>
      <c r="DO73" s="47" t="e">
        <f>VLOOKUP($AA73,#REF!,7,0)*(+DL73+DM73)</f>
        <v>#REF!</v>
      </c>
      <c r="DP73" s="47" t="e">
        <f>VLOOKUP($AB73,#REF!,7,0)*(+DL73+DM73)</f>
        <v>#REF!</v>
      </c>
      <c r="DS73" s="47"/>
      <c r="DU73" s="47" t="e">
        <f t="shared" si="61"/>
        <v>#REF!</v>
      </c>
      <c r="DZ73" s="47" t="e">
        <f t="shared" si="62"/>
        <v>#REF!</v>
      </c>
      <c r="EA73" s="66"/>
    </row>
    <row r="74" spans="1:131" x14ac:dyDescent="0.2">
      <c r="A74" s="38" t="s">
        <v>380</v>
      </c>
      <c r="B74" s="56" t="s">
        <v>183</v>
      </c>
      <c r="C74" s="54" t="s">
        <v>184</v>
      </c>
      <c r="D74" s="54"/>
      <c r="E74" s="57">
        <v>4971</v>
      </c>
      <c r="F74" s="58"/>
      <c r="G74" s="58"/>
      <c r="H74" s="58"/>
      <c r="I74" s="58"/>
      <c r="J74" s="58"/>
      <c r="K74" s="102"/>
      <c r="L74" s="58"/>
      <c r="M74" s="58"/>
      <c r="N74" s="58"/>
      <c r="O74" s="58"/>
      <c r="P74" s="58"/>
      <c r="Q74" s="58"/>
      <c r="R74" s="58"/>
      <c r="S74" s="58"/>
      <c r="T74" s="42">
        <f t="shared" si="64"/>
        <v>4971</v>
      </c>
      <c r="U74" s="43"/>
      <c r="V74" s="139">
        <v>4971</v>
      </c>
      <c r="W74" s="143" t="s">
        <v>368</v>
      </c>
      <c r="X74" s="143">
        <v>11</v>
      </c>
      <c r="Y74" s="171" t="s">
        <v>423</v>
      </c>
      <c r="Z74" s="171" t="s">
        <v>430</v>
      </c>
      <c r="AA74" s="247" t="s">
        <v>514</v>
      </c>
      <c r="AB74" s="187" t="s">
        <v>459</v>
      </c>
      <c r="AC74" s="34"/>
      <c r="AD74" s="35">
        <v>114</v>
      </c>
      <c r="AE74" s="34"/>
      <c r="AF74" s="34"/>
      <c r="AG74" s="55"/>
      <c r="AH74" s="55"/>
      <c r="AI74" s="55"/>
      <c r="AJ74" s="58"/>
      <c r="AK74" s="55"/>
      <c r="AL74" s="55"/>
      <c r="AN74" s="128">
        <v>0</v>
      </c>
      <c r="AO74" s="55"/>
      <c r="AP74" s="46">
        <f t="shared" si="34"/>
        <v>5085</v>
      </c>
      <c r="AQ74" s="47"/>
      <c r="AW74" s="48">
        <f t="shared" si="35"/>
        <v>5085</v>
      </c>
      <c r="AX74" s="66"/>
      <c r="AY74" s="47">
        <f t="shared" si="65"/>
        <v>5085</v>
      </c>
      <c r="AZ74" s="47"/>
      <c r="BB74" s="47" t="e">
        <f>VLOOKUP($AA74,#REF!,3,0)*(+AY74+AZ74)</f>
        <v>#REF!</v>
      </c>
      <c r="BC74" s="47" t="e">
        <f>VLOOKUP($AB74,#REF!,3,0)*(+AY74+AZ74)</f>
        <v>#REF!</v>
      </c>
      <c r="BE74" s="47"/>
      <c r="BH74" s="47" t="e">
        <f t="shared" si="36"/>
        <v>#REF!</v>
      </c>
      <c r="BM74" s="47" t="e">
        <f t="shared" si="37"/>
        <v>#REF!</v>
      </c>
      <c r="BN74" s="66"/>
      <c r="BO74" s="47" t="e">
        <f t="shared" si="66"/>
        <v>#REF!</v>
      </c>
      <c r="BP74" s="47"/>
      <c r="BR74" s="47" t="e">
        <f>VLOOKUP($AA74,#REF!,4,0)*(+BO74+BP74)</f>
        <v>#REF!</v>
      </c>
      <c r="BS74" s="47" t="e">
        <f>VLOOKUP($AB74,#REF!,4,0)*(+BO74+BP74)</f>
        <v>#REF!</v>
      </c>
      <c r="BV74" s="47"/>
      <c r="BX74" s="47" t="e">
        <f t="shared" ref="BX74" si="69">-SUM(BO74:BS74)</f>
        <v>#REF!</v>
      </c>
      <c r="BY74" s="47" t="e">
        <f t="shared" si="63"/>
        <v>#REF!</v>
      </c>
      <c r="CD74" s="47" t="e">
        <f t="shared" si="38"/>
        <v>#REF!</v>
      </c>
      <c r="CE74" s="66"/>
      <c r="CF74" s="47" t="e">
        <f t="shared" si="67"/>
        <v>#REF!</v>
      </c>
      <c r="CG74" s="47"/>
      <c r="CI74" s="47" t="e">
        <f>VLOOKUP($AA74,#REF!,5,0)*(+CF74+CG74)</f>
        <v>#REF!</v>
      </c>
      <c r="CJ74" s="47" t="e">
        <f>VLOOKUP($AB74,#REF!,5,0)*(+CF74+CG74)</f>
        <v>#REF!</v>
      </c>
      <c r="CM74" s="47"/>
      <c r="CO74" s="47" t="e">
        <f t="shared" si="39"/>
        <v>#REF!</v>
      </c>
      <c r="CT74" s="47" t="e">
        <f t="shared" si="40"/>
        <v>#REF!</v>
      </c>
      <c r="CU74" s="66"/>
      <c r="CV74" s="47" t="e">
        <f t="shared" si="68"/>
        <v>#REF!</v>
      </c>
      <c r="CW74" s="47"/>
      <c r="CY74" s="47" t="e">
        <f>VLOOKUP($AA74,#REF!,6,0)*(+CV74+CW74)</f>
        <v>#REF!</v>
      </c>
      <c r="CZ74" s="47" t="e">
        <f>VLOOKUP($AB74,#REF!,6,0)*(+CV74+CW74)</f>
        <v>#REF!</v>
      </c>
      <c r="DC74" s="47"/>
      <c r="DE74" s="47" t="e">
        <f t="shared" si="41"/>
        <v>#REF!</v>
      </c>
      <c r="DJ74" s="47" t="e">
        <f t="shared" si="42"/>
        <v>#REF!</v>
      </c>
      <c r="DK74" s="66"/>
      <c r="DL74" s="47" t="e">
        <f t="shared" si="59"/>
        <v>#REF!</v>
      </c>
      <c r="DM74" s="47"/>
      <c r="DO74" s="47" t="e">
        <f>VLOOKUP($AA74,#REF!,7,0)*(+DL74+DM74)</f>
        <v>#REF!</v>
      </c>
      <c r="DP74" s="47" t="e">
        <f>VLOOKUP($AB74,#REF!,7,0)*(+DL74+DM74)</f>
        <v>#REF!</v>
      </c>
      <c r="DS74" s="47"/>
      <c r="DU74" s="47" t="e">
        <f t="shared" si="61"/>
        <v>#REF!</v>
      </c>
      <c r="DZ74" s="47" t="e">
        <f t="shared" si="62"/>
        <v>#REF!</v>
      </c>
      <c r="EA74" s="66"/>
    </row>
    <row r="75" spans="1:131" x14ac:dyDescent="0.2">
      <c r="A75" s="38" t="s">
        <v>380</v>
      </c>
      <c r="B75" s="56" t="s">
        <v>187</v>
      </c>
      <c r="C75" s="54" t="s">
        <v>188</v>
      </c>
      <c r="D75" s="54"/>
      <c r="E75" s="57">
        <v>0</v>
      </c>
      <c r="F75" s="58"/>
      <c r="G75" s="58"/>
      <c r="H75" s="58"/>
      <c r="I75" s="58"/>
      <c r="J75" s="58"/>
      <c r="K75" s="102"/>
      <c r="L75" s="58"/>
      <c r="M75" s="58"/>
      <c r="N75" s="58"/>
      <c r="O75" s="58"/>
      <c r="P75" s="58"/>
      <c r="Q75" s="58"/>
      <c r="R75" s="58"/>
      <c r="S75" s="58"/>
      <c r="T75" s="42">
        <f t="shared" si="64"/>
        <v>0</v>
      </c>
      <c r="U75" s="43"/>
      <c r="V75" s="139">
        <v>0</v>
      </c>
      <c r="W75" s="143" t="s">
        <v>368</v>
      </c>
      <c r="X75" s="143">
        <v>11</v>
      </c>
      <c r="Y75" s="171" t="s">
        <v>423</v>
      </c>
      <c r="Z75" s="171" t="s">
        <v>430</v>
      </c>
      <c r="AA75" s="247" t="s">
        <v>514</v>
      </c>
      <c r="AB75" s="187" t="s">
        <v>459</v>
      </c>
      <c r="AC75" s="34"/>
      <c r="AD75" s="35">
        <v>0</v>
      </c>
      <c r="AE75" s="34"/>
      <c r="AF75" s="34"/>
      <c r="AG75" s="55"/>
      <c r="AH75" s="55"/>
      <c r="AI75" s="55"/>
      <c r="AJ75" s="58"/>
      <c r="AK75" s="55"/>
      <c r="AL75" s="55"/>
      <c r="AN75" s="128">
        <v>0</v>
      </c>
      <c r="AO75" s="55"/>
      <c r="AP75" s="46">
        <f t="shared" si="34"/>
        <v>0</v>
      </c>
      <c r="AQ75" s="47"/>
      <c r="AW75" s="48">
        <f t="shared" si="35"/>
        <v>0</v>
      </c>
      <c r="AX75" s="66"/>
      <c r="AY75" s="47">
        <f t="shared" si="65"/>
        <v>0</v>
      </c>
      <c r="AZ75" s="47"/>
      <c r="BB75" s="47" t="e">
        <f>VLOOKUP($AA75,#REF!,3,0)*(+AY75+AZ75)</f>
        <v>#REF!</v>
      </c>
      <c r="BC75" s="47" t="e">
        <f>VLOOKUP($AB75,#REF!,3,0)*(+AY75+AZ75)</f>
        <v>#REF!</v>
      </c>
      <c r="BE75" s="47"/>
      <c r="BH75" s="47" t="e">
        <f t="shared" si="36"/>
        <v>#REF!</v>
      </c>
      <c r="BM75" s="47" t="e">
        <f t="shared" si="37"/>
        <v>#REF!</v>
      </c>
      <c r="BN75" s="66"/>
      <c r="BO75" s="47" t="e">
        <f t="shared" si="66"/>
        <v>#REF!</v>
      </c>
      <c r="BP75" s="47"/>
      <c r="BR75" s="47" t="e">
        <f>VLOOKUP($AA75,#REF!,4,0)*(+BO75+BP75)</f>
        <v>#REF!</v>
      </c>
      <c r="BS75" s="47" t="e">
        <f>VLOOKUP($AB75,#REF!,4,0)*(+BO75+BP75)</f>
        <v>#REF!</v>
      </c>
      <c r="BV75" s="47"/>
      <c r="BX75" s="47"/>
      <c r="BY75" s="47" t="e">
        <f t="shared" si="63"/>
        <v>#REF!</v>
      </c>
      <c r="CD75" s="47" t="e">
        <f t="shared" si="38"/>
        <v>#REF!</v>
      </c>
      <c r="CE75" s="66"/>
      <c r="CF75" s="47" t="e">
        <f t="shared" si="67"/>
        <v>#REF!</v>
      </c>
      <c r="CG75" s="47"/>
      <c r="CI75" s="47" t="e">
        <f>VLOOKUP($AA75,#REF!,5,0)*(+CF75+CG75)</f>
        <v>#REF!</v>
      </c>
      <c r="CJ75" s="47" t="e">
        <f>VLOOKUP($AB75,#REF!,5,0)*(+CF75+CG75)</f>
        <v>#REF!</v>
      </c>
      <c r="CM75" s="47"/>
      <c r="CO75" s="47" t="e">
        <f t="shared" si="39"/>
        <v>#REF!</v>
      </c>
      <c r="CT75" s="47" t="e">
        <f t="shared" si="40"/>
        <v>#REF!</v>
      </c>
      <c r="CU75" s="66"/>
      <c r="CV75" s="47" t="e">
        <f t="shared" si="68"/>
        <v>#REF!</v>
      </c>
      <c r="CW75" s="47"/>
      <c r="CY75" s="47" t="e">
        <f>VLOOKUP($AA75,#REF!,6,0)*(+CV75+CW75)</f>
        <v>#REF!</v>
      </c>
      <c r="CZ75" s="47" t="e">
        <f>VLOOKUP($AB75,#REF!,6,0)*(+CV75+CW75)</f>
        <v>#REF!</v>
      </c>
      <c r="DC75" s="47"/>
      <c r="DE75" s="47" t="e">
        <f t="shared" si="41"/>
        <v>#REF!</v>
      </c>
      <c r="DJ75" s="47" t="e">
        <f t="shared" si="42"/>
        <v>#REF!</v>
      </c>
      <c r="DK75" s="66"/>
      <c r="DL75" s="47" t="e">
        <f t="shared" si="59"/>
        <v>#REF!</v>
      </c>
      <c r="DM75" s="47"/>
      <c r="DO75" s="47" t="e">
        <f>VLOOKUP($AA75,#REF!,7,0)*(+DL75+DM75)</f>
        <v>#REF!</v>
      </c>
      <c r="DP75" s="47" t="e">
        <f>VLOOKUP($AB75,#REF!,7,0)*(+DL75+DM75)</f>
        <v>#REF!</v>
      </c>
      <c r="DS75" s="47"/>
      <c r="DU75" s="47" t="e">
        <f t="shared" si="61"/>
        <v>#REF!</v>
      </c>
      <c r="DZ75" s="47" t="e">
        <f t="shared" si="62"/>
        <v>#REF!</v>
      </c>
      <c r="EA75" s="66"/>
    </row>
    <row r="76" spans="1:131" x14ac:dyDescent="0.2">
      <c r="A76" s="38" t="s">
        <v>380</v>
      </c>
      <c r="B76" s="56" t="s">
        <v>189</v>
      </c>
      <c r="C76" s="54" t="s">
        <v>190</v>
      </c>
      <c r="D76" s="54"/>
      <c r="E76" s="57">
        <v>14682</v>
      </c>
      <c r="F76" s="58"/>
      <c r="G76" s="58"/>
      <c r="H76" s="58"/>
      <c r="I76" s="58"/>
      <c r="J76" s="58"/>
      <c r="K76" s="102"/>
      <c r="L76" s="58"/>
      <c r="M76" s="58"/>
      <c r="N76" s="58"/>
      <c r="O76" s="58"/>
      <c r="P76" s="58"/>
      <c r="Q76" s="58"/>
      <c r="R76" s="58"/>
      <c r="S76" s="58"/>
      <c r="T76" s="42">
        <f t="shared" si="64"/>
        <v>14682</v>
      </c>
      <c r="U76" s="43"/>
      <c r="V76" s="139">
        <v>14682</v>
      </c>
      <c r="W76" s="143" t="s">
        <v>368</v>
      </c>
      <c r="X76" s="143">
        <v>11</v>
      </c>
      <c r="Y76" s="171" t="s">
        <v>423</v>
      </c>
      <c r="Z76" s="171" t="s">
        <v>430</v>
      </c>
      <c r="AA76" s="247" t="s">
        <v>514</v>
      </c>
      <c r="AB76" s="187" t="s">
        <v>459</v>
      </c>
      <c r="AC76" s="34"/>
      <c r="AD76" s="35">
        <v>440.46</v>
      </c>
      <c r="AE76" s="34"/>
      <c r="AF76" s="34"/>
      <c r="AG76" s="55"/>
      <c r="AH76" s="55"/>
      <c r="AI76" s="55"/>
      <c r="AJ76" s="58"/>
      <c r="AK76" s="55"/>
      <c r="AL76" s="55"/>
      <c r="AN76" s="128">
        <v>0</v>
      </c>
      <c r="AO76" s="55"/>
      <c r="AP76" s="46">
        <f t="shared" si="34"/>
        <v>15122.46</v>
      </c>
      <c r="AQ76" s="47"/>
      <c r="AW76" s="48">
        <f t="shared" si="35"/>
        <v>15122.46</v>
      </c>
      <c r="AX76" s="66"/>
      <c r="AY76" s="47">
        <f t="shared" si="65"/>
        <v>15122.46</v>
      </c>
      <c r="AZ76" s="47"/>
      <c r="BB76" s="47" t="e">
        <f>VLOOKUP($AA76,#REF!,3,0)*(+AY76+AZ76)</f>
        <v>#REF!</v>
      </c>
      <c r="BC76" s="47" t="e">
        <f>VLOOKUP($AB76,#REF!,3,0)*(+AY76+AZ76)</f>
        <v>#REF!</v>
      </c>
      <c r="BE76" s="47"/>
      <c r="BH76" s="47" t="e">
        <f t="shared" si="36"/>
        <v>#REF!</v>
      </c>
      <c r="BM76" s="47" t="e">
        <f t="shared" si="37"/>
        <v>#REF!</v>
      </c>
      <c r="BN76" s="66"/>
      <c r="BO76" s="47" t="e">
        <f t="shared" si="66"/>
        <v>#REF!</v>
      </c>
      <c r="BP76" s="47"/>
      <c r="BR76" s="47" t="e">
        <f>VLOOKUP($AA76,#REF!,4,0)*(+BO76+BP76)</f>
        <v>#REF!</v>
      </c>
      <c r="BS76" s="47" t="e">
        <f>VLOOKUP($AB76,#REF!,4,0)*(+BO76+BP76)</f>
        <v>#REF!</v>
      </c>
      <c r="BV76" s="47"/>
      <c r="BX76" s="47"/>
      <c r="BY76" s="47" t="e">
        <f t="shared" si="63"/>
        <v>#REF!</v>
      </c>
      <c r="CD76" s="47" t="e">
        <f t="shared" si="38"/>
        <v>#REF!</v>
      </c>
      <c r="CE76" s="66"/>
      <c r="CF76" s="47" t="e">
        <f t="shared" si="67"/>
        <v>#REF!</v>
      </c>
      <c r="CG76" s="47"/>
      <c r="CI76" s="47" t="e">
        <f>VLOOKUP($AA76,#REF!,5,0)*(+CF76+CG76)</f>
        <v>#REF!</v>
      </c>
      <c r="CJ76" s="47" t="e">
        <f>VLOOKUP($AB76,#REF!,5,0)*(+CF76+CG76)</f>
        <v>#REF!</v>
      </c>
      <c r="CM76" s="47"/>
      <c r="CO76" s="47" t="e">
        <f t="shared" si="39"/>
        <v>#REF!</v>
      </c>
      <c r="CT76" s="47" t="e">
        <f t="shared" si="40"/>
        <v>#REF!</v>
      </c>
      <c r="CU76" s="66"/>
      <c r="CV76" s="47" t="e">
        <f t="shared" si="68"/>
        <v>#REF!</v>
      </c>
      <c r="CW76" s="47"/>
      <c r="CY76" s="47" t="e">
        <f>VLOOKUP($AA76,#REF!,6,0)*(+CV76+CW76)</f>
        <v>#REF!</v>
      </c>
      <c r="CZ76" s="47" t="e">
        <f>VLOOKUP($AB76,#REF!,6,0)*(+CV76+CW76)</f>
        <v>#REF!</v>
      </c>
      <c r="DC76" s="47"/>
      <c r="DE76" s="47" t="e">
        <f t="shared" si="41"/>
        <v>#REF!</v>
      </c>
      <c r="DJ76" s="47" t="e">
        <f t="shared" si="42"/>
        <v>#REF!</v>
      </c>
      <c r="DK76" s="66"/>
      <c r="DL76" s="47" t="e">
        <f t="shared" si="59"/>
        <v>#REF!</v>
      </c>
      <c r="DM76" s="47"/>
      <c r="DO76" s="47" t="e">
        <f>VLOOKUP($AA76,#REF!,7,0)*(+DL76+DM76)</f>
        <v>#REF!</v>
      </c>
      <c r="DP76" s="47" t="e">
        <f>VLOOKUP($AB76,#REF!,7,0)*(+DL76+DM76)</f>
        <v>#REF!</v>
      </c>
      <c r="DS76" s="47"/>
      <c r="DU76" s="47" t="e">
        <f t="shared" si="61"/>
        <v>#REF!</v>
      </c>
      <c r="DZ76" s="47" t="e">
        <f t="shared" si="62"/>
        <v>#REF!</v>
      </c>
      <c r="EA76" s="66"/>
    </row>
    <row r="77" spans="1:131" x14ac:dyDescent="0.2">
      <c r="A77" s="38" t="s">
        <v>380</v>
      </c>
      <c r="B77" s="56" t="s">
        <v>191</v>
      </c>
      <c r="C77" s="54" t="s">
        <v>192</v>
      </c>
      <c r="D77" s="54"/>
      <c r="E77" s="57">
        <v>3808000</v>
      </c>
      <c r="F77" s="58">
        <v>250000</v>
      </c>
      <c r="G77" s="58"/>
      <c r="H77" s="58"/>
      <c r="I77" s="58"/>
      <c r="J77" s="58"/>
      <c r="K77" s="102"/>
      <c r="L77" s="58"/>
      <c r="M77" s="58"/>
      <c r="N77" s="58"/>
      <c r="O77" s="58"/>
      <c r="P77" s="58"/>
      <c r="Q77" s="58"/>
      <c r="R77" s="58"/>
      <c r="S77" s="58"/>
      <c r="T77" s="42">
        <f t="shared" si="64"/>
        <v>4058000</v>
      </c>
      <c r="U77" s="43"/>
      <c r="V77" s="139">
        <v>4058000</v>
      </c>
      <c r="W77" s="143" t="s">
        <v>368</v>
      </c>
      <c r="X77" s="143">
        <v>11</v>
      </c>
      <c r="Y77" s="172" t="s">
        <v>424</v>
      </c>
      <c r="Z77" s="171" t="s">
        <v>430</v>
      </c>
      <c r="AA77" s="247" t="s">
        <v>514</v>
      </c>
      <c r="AB77" s="187" t="s">
        <v>459</v>
      </c>
      <c r="AC77" s="34"/>
      <c r="AD77" s="35">
        <v>121740</v>
      </c>
      <c r="AE77" s="34"/>
      <c r="AF77" s="34"/>
      <c r="AG77" s="55"/>
      <c r="AH77" s="55"/>
      <c r="AI77" s="55"/>
      <c r="AJ77" s="58"/>
      <c r="AK77" s="55"/>
      <c r="AL77" s="55"/>
      <c r="AN77" s="128">
        <v>0</v>
      </c>
      <c r="AO77" s="55"/>
      <c r="AP77" s="46">
        <f t="shared" si="34"/>
        <v>4179740</v>
      </c>
      <c r="AQ77" s="47"/>
      <c r="AW77" s="48">
        <f t="shared" si="35"/>
        <v>4179740</v>
      </c>
      <c r="AX77" s="66"/>
      <c r="AY77" s="47">
        <f t="shared" si="65"/>
        <v>4179740</v>
      </c>
      <c r="AZ77" s="47"/>
      <c r="BB77" s="47" t="e">
        <f>VLOOKUP($AA77,#REF!,3,0)*(+AY77+AZ77)</f>
        <v>#REF!</v>
      </c>
      <c r="BC77" s="47" t="e">
        <f>VLOOKUP($AB77,#REF!,3,0)*(+AY77+AZ77)</f>
        <v>#REF!</v>
      </c>
      <c r="BE77" s="47"/>
      <c r="BH77" s="47" t="e">
        <f t="shared" si="36"/>
        <v>#REF!</v>
      </c>
      <c r="BM77" s="47" t="e">
        <f t="shared" si="37"/>
        <v>#REF!</v>
      </c>
      <c r="BN77" s="66"/>
      <c r="BO77" s="47" t="e">
        <f t="shared" si="66"/>
        <v>#REF!</v>
      </c>
      <c r="BP77" s="47"/>
      <c r="BR77" s="47" t="e">
        <f>VLOOKUP($AA77,#REF!,4,0)*(+BO77+BP77)</f>
        <v>#REF!</v>
      </c>
      <c r="BS77" s="47" t="e">
        <f>VLOOKUP($AB77,#REF!,4,0)*(+BO77+BP77)</f>
        <v>#REF!</v>
      </c>
      <c r="BV77" s="47"/>
      <c r="BX77" s="47"/>
      <c r="BY77" s="47" t="e">
        <f t="shared" si="63"/>
        <v>#REF!</v>
      </c>
      <c r="CD77" s="47" t="e">
        <f t="shared" si="38"/>
        <v>#REF!</v>
      </c>
      <c r="CE77" s="66"/>
      <c r="CF77" s="47" t="e">
        <f t="shared" si="67"/>
        <v>#REF!</v>
      </c>
      <c r="CG77" s="47"/>
      <c r="CI77" s="47" t="e">
        <f>VLOOKUP($AA77,#REF!,5,0)*(+CF77+CG77)</f>
        <v>#REF!</v>
      </c>
      <c r="CJ77" s="47" t="e">
        <f>VLOOKUP($AB77,#REF!,5,0)*(+CF77+CG77)</f>
        <v>#REF!</v>
      </c>
      <c r="CM77" s="47"/>
      <c r="CO77" s="47" t="e">
        <f t="shared" si="39"/>
        <v>#REF!</v>
      </c>
      <c r="CT77" s="47" t="e">
        <f t="shared" si="40"/>
        <v>#REF!</v>
      </c>
      <c r="CU77" s="66"/>
      <c r="CV77" s="47" t="e">
        <f t="shared" si="68"/>
        <v>#REF!</v>
      </c>
      <c r="CW77" s="47"/>
      <c r="CY77" s="47" t="e">
        <f>VLOOKUP($AA77,#REF!,6,0)*(+CV77+CW77)</f>
        <v>#REF!</v>
      </c>
      <c r="CZ77" s="47" t="e">
        <f>VLOOKUP($AB77,#REF!,6,0)*(+CV77+CW77)</f>
        <v>#REF!</v>
      </c>
      <c r="DC77" s="47"/>
      <c r="DE77" s="47" t="e">
        <f t="shared" si="41"/>
        <v>#REF!</v>
      </c>
      <c r="DJ77" s="47" t="e">
        <f t="shared" si="42"/>
        <v>#REF!</v>
      </c>
      <c r="DK77" s="66"/>
      <c r="DL77" s="47" t="e">
        <f t="shared" si="59"/>
        <v>#REF!</v>
      </c>
      <c r="DM77" s="47"/>
      <c r="DO77" s="47" t="e">
        <f>VLOOKUP($AA77,#REF!,7,0)*(+DL77+DM77)</f>
        <v>#REF!</v>
      </c>
      <c r="DP77" s="47" t="e">
        <f>VLOOKUP($AB77,#REF!,7,0)*(+DL77+DM77)</f>
        <v>#REF!</v>
      </c>
      <c r="DS77" s="47"/>
      <c r="DU77" s="47" t="e">
        <f t="shared" si="61"/>
        <v>#REF!</v>
      </c>
      <c r="DZ77" s="47" t="e">
        <f t="shared" si="62"/>
        <v>#REF!</v>
      </c>
      <c r="EA77" s="66"/>
    </row>
    <row r="78" spans="1:131" x14ac:dyDescent="0.2">
      <c r="A78" s="38" t="s">
        <v>380</v>
      </c>
      <c r="B78" s="56" t="s">
        <v>193</v>
      </c>
      <c r="C78" s="54" t="s">
        <v>194</v>
      </c>
      <c r="D78" s="54"/>
      <c r="E78" s="57">
        <v>1604000</v>
      </c>
      <c r="F78" s="58"/>
      <c r="G78" s="58"/>
      <c r="H78" s="58"/>
      <c r="I78" s="58"/>
      <c r="J78" s="58"/>
      <c r="K78" s="102"/>
      <c r="L78" s="58"/>
      <c r="M78" s="58"/>
      <c r="N78" s="58"/>
      <c r="O78" s="58"/>
      <c r="P78" s="58"/>
      <c r="Q78" s="58"/>
      <c r="R78" s="58"/>
      <c r="S78" s="58"/>
      <c r="T78" s="42">
        <f t="shared" si="64"/>
        <v>1604000</v>
      </c>
      <c r="U78" s="43"/>
      <c r="V78" s="139">
        <v>1604000</v>
      </c>
      <c r="W78" s="143" t="s">
        <v>368</v>
      </c>
      <c r="X78" s="143">
        <v>11</v>
      </c>
      <c r="Y78" s="172" t="s">
        <v>424</v>
      </c>
      <c r="Z78" s="171" t="s">
        <v>430</v>
      </c>
      <c r="AA78" s="247" t="s">
        <v>514</v>
      </c>
      <c r="AB78" s="187" t="s">
        <v>459</v>
      </c>
      <c r="AC78" s="34"/>
      <c r="AD78" s="35">
        <v>48120</v>
      </c>
      <c r="AE78" s="34"/>
      <c r="AF78" s="34"/>
      <c r="AG78" s="55"/>
      <c r="AH78" s="55"/>
      <c r="AI78" s="55"/>
      <c r="AJ78" s="58"/>
      <c r="AK78" s="55"/>
      <c r="AL78" s="55"/>
      <c r="AN78" s="128">
        <v>0</v>
      </c>
      <c r="AO78" s="55"/>
      <c r="AP78" s="46">
        <f t="shared" si="34"/>
        <v>1652120</v>
      </c>
      <c r="AQ78" s="47"/>
      <c r="AW78" s="48">
        <f t="shared" si="35"/>
        <v>1652120</v>
      </c>
      <c r="AX78" s="66"/>
      <c r="AY78" s="47">
        <f t="shared" si="65"/>
        <v>1652120</v>
      </c>
      <c r="AZ78" s="47"/>
      <c r="BB78" s="47" t="e">
        <f>VLOOKUP($AA78,#REF!,3,0)*(+AY78+AZ78)</f>
        <v>#REF!</v>
      </c>
      <c r="BC78" s="47" t="e">
        <f>VLOOKUP($AB78,#REF!,3,0)*(+AY78+AZ78)</f>
        <v>#REF!</v>
      </c>
      <c r="BE78" s="47"/>
      <c r="BH78" s="47" t="e">
        <f t="shared" si="36"/>
        <v>#REF!</v>
      </c>
      <c r="BM78" s="47" t="e">
        <f t="shared" si="37"/>
        <v>#REF!</v>
      </c>
      <c r="BN78" s="66"/>
      <c r="BO78" s="47" t="e">
        <f t="shared" si="66"/>
        <v>#REF!</v>
      </c>
      <c r="BP78" s="47"/>
      <c r="BR78" s="47" t="e">
        <f>VLOOKUP($AA78,#REF!,4,0)*(+BO78+BP78)</f>
        <v>#REF!</v>
      </c>
      <c r="BS78" s="47" t="e">
        <f>VLOOKUP($AB78,#REF!,4,0)*(+BO78+BP78)</f>
        <v>#REF!</v>
      </c>
      <c r="BV78" s="47"/>
      <c r="BX78" s="47">
        <v>-1604000</v>
      </c>
      <c r="BY78" s="47" t="e">
        <f t="shared" si="63"/>
        <v>#REF!</v>
      </c>
      <c r="CD78" s="47" t="e">
        <f t="shared" si="38"/>
        <v>#REF!</v>
      </c>
      <c r="CE78" s="66"/>
      <c r="CF78" s="47" t="e">
        <f t="shared" si="67"/>
        <v>#REF!</v>
      </c>
      <c r="CG78" s="47"/>
      <c r="CI78" s="47" t="e">
        <f>VLOOKUP($AA78,#REF!,5,0)*(+CF78+CG78)</f>
        <v>#REF!</v>
      </c>
      <c r="CJ78" s="47" t="e">
        <f>VLOOKUP($AB78,#REF!,5,0)*(+CF78+CG78)</f>
        <v>#REF!</v>
      </c>
      <c r="CM78" s="47"/>
      <c r="CO78" s="47" t="e">
        <f t="shared" si="39"/>
        <v>#REF!</v>
      </c>
      <c r="CT78" s="47" t="e">
        <f t="shared" si="40"/>
        <v>#REF!</v>
      </c>
      <c r="CU78" s="66"/>
      <c r="CV78" s="47" t="e">
        <f t="shared" si="68"/>
        <v>#REF!</v>
      </c>
      <c r="CW78" s="47"/>
      <c r="CY78" s="47" t="e">
        <f>VLOOKUP($AA78,#REF!,6,0)*(+CV78+CW78)</f>
        <v>#REF!</v>
      </c>
      <c r="CZ78" s="47" t="e">
        <f>VLOOKUP($AB78,#REF!,6,0)*(+CV78+CW78)</f>
        <v>#REF!</v>
      </c>
      <c r="DC78" s="47"/>
      <c r="DE78" s="47" t="e">
        <f t="shared" si="41"/>
        <v>#REF!</v>
      </c>
      <c r="DJ78" s="47" t="e">
        <f t="shared" si="42"/>
        <v>#REF!</v>
      </c>
      <c r="DK78" s="66"/>
      <c r="DL78" s="47" t="e">
        <f t="shared" si="59"/>
        <v>#REF!</v>
      </c>
      <c r="DM78" s="47"/>
      <c r="DO78" s="47" t="e">
        <f>VLOOKUP($AA78,#REF!,7,0)*(+DL78+DM78)</f>
        <v>#REF!</v>
      </c>
      <c r="DP78" s="47" t="e">
        <f>VLOOKUP($AB78,#REF!,7,0)*(+DL78+DM78)</f>
        <v>#REF!</v>
      </c>
      <c r="DS78" s="47"/>
      <c r="DU78" s="47" t="e">
        <f t="shared" si="61"/>
        <v>#REF!</v>
      </c>
      <c r="DZ78" s="47" t="e">
        <f t="shared" si="62"/>
        <v>#REF!</v>
      </c>
      <c r="EA78" s="66"/>
    </row>
    <row r="79" spans="1:131" x14ac:dyDescent="0.2">
      <c r="B79" s="56"/>
      <c r="C79" s="107" t="s">
        <v>562</v>
      </c>
      <c r="D79" s="54"/>
      <c r="E79" s="57"/>
      <c r="F79" s="58"/>
      <c r="G79" s="58"/>
      <c r="H79" s="58"/>
      <c r="I79" s="58"/>
      <c r="J79" s="58"/>
      <c r="K79" s="102"/>
      <c r="L79" s="58"/>
      <c r="M79" s="58"/>
      <c r="N79" s="58"/>
      <c r="O79" s="58"/>
      <c r="P79" s="58"/>
      <c r="Q79" s="58"/>
      <c r="R79" s="58"/>
      <c r="S79" s="58"/>
      <c r="T79" s="367"/>
      <c r="U79" s="43"/>
      <c r="V79" s="368"/>
      <c r="W79" s="143"/>
      <c r="X79" s="143"/>
      <c r="Y79" s="172"/>
      <c r="Z79" s="171"/>
      <c r="AA79" s="369" t="s">
        <v>514</v>
      </c>
      <c r="AB79" s="370" t="s">
        <v>459</v>
      </c>
      <c r="AC79" s="34"/>
      <c r="AD79" s="35"/>
      <c r="AE79" s="34"/>
      <c r="AF79" s="34"/>
      <c r="AG79" s="55"/>
      <c r="AH79" s="55"/>
      <c r="AI79" s="55"/>
      <c r="AJ79" s="58"/>
      <c r="AK79" s="55"/>
      <c r="AL79" s="55"/>
      <c r="AN79" s="128">
        <v>0</v>
      </c>
      <c r="AO79" s="55"/>
      <c r="AP79" s="360">
        <f t="shared" ref="AP79" si="70">SUM(AC79:AO79)+V79</f>
        <v>0</v>
      </c>
      <c r="AQ79" s="47"/>
      <c r="AW79" s="48">
        <f t="shared" si="35"/>
        <v>0</v>
      </c>
      <c r="AX79" s="66"/>
      <c r="AY79" s="47">
        <f t="shared" si="65"/>
        <v>0</v>
      </c>
      <c r="AZ79" s="47"/>
      <c r="BB79" s="47">
        <f>VLOOKUP($AA79,[1]Assumptions!$B$5:$H$14,3,0)*(+AY79+AZ79)</f>
        <v>0</v>
      </c>
      <c r="BC79" s="47">
        <f>VLOOKUP($AB79,[1]Assumptions!$B$19:$H$25,3,0)*(+AY79+AZ79)</f>
        <v>0</v>
      </c>
      <c r="BE79" s="47"/>
      <c r="BH79" s="47">
        <f t="shared" si="36"/>
        <v>0</v>
      </c>
      <c r="BM79" s="47">
        <f t="shared" si="37"/>
        <v>0</v>
      </c>
      <c r="BN79" s="66"/>
      <c r="BO79" s="47">
        <f t="shared" si="66"/>
        <v>0</v>
      </c>
      <c r="BP79" s="47"/>
      <c r="BR79" s="47">
        <f>VLOOKUP($AA79,[1]Assumptions!$B$5:$H$14,4,0)*(+BO79+BP79)</f>
        <v>0</v>
      </c>
      <c r="BS79" s="47">
        <f>VLOOKUP($AB79,[1]Assumptions!$B$19:$H$25,4,0)*(+BO79+BP79)</f>
        <v>0</v>
      </c>
      <c r="BV79" s="47"/>
      <c r="BX79" s="146">
        <v>-670000</v>
      </c>
      <c r="BY79" s="47">
        <f t="shared" si="63"/>
        <v>-670000</v>
      </c>
      <c r="CD79" s="47">
        <f t="shared" si="38"/>
        <v>-670000</v>
      </c>
      <c r="CE79" s="66"/>
      <c r="CF79" s="47">
        <f t="shared" si="67"/>
        <v>-670000</v>
      </c>
      <c r="CG79" s="47"/>
      <c r="CI79" s="47">
        <f>VLOOKUP($AA79,[1]Assumptions!$B$5:$H$14,5,0)*(+CF79+CG79)</f>
        <v>-20100</v>
      </c>
      <c r="CJ79" s="47">
        <f>VLOOKUP($AB79,[1]Assumptions!$B$19:$H$25,5,0)*(+CF79+CG79)</f>
        <v>-6700</v>
      </c>
      <c r="CM79" s="47"/>
      <c r="CO79" s="47">
        <f t="shared" si="39"/>
        <v>-696800</v>
      </c>
      <c r="CT79" s="47">
        <f t="shared" si="40"/>
        <v>-696800</v>
      </c>
      <c r="CU79" s="66"/>
      <c r="CV79" s="47">
        <f t="shared" si="68"/>
        <v>-696800</v>
      </c>
      <c r="CW79" s="47"/>
      <c r="CY79" s="47">
        <f>VLOOKUP($AA79,[1]Assumptions!$B$5:$H$14,6,0)*(+CV79+CW79)</f>
        <v>-20904</v>
      </c>
      <c r="CZ79" s="47">
        <f>VLOOKUP($AB79,[1]Assumptions!$B$19:$H$25,6,0)*(+CV79+CW79)</f>
        <v>-6968</v>
      </c>
      <c r="DC79" s="47"/>
      <c r="DE79" s="47">
        <f t="shared" si="41"/>
        <v>-724672</v>
      </c>
      <c r="DJ79" s="47">
        <f t="shared" si="42"/>
        <v>-724672</v>
      </c>
      <c r="DK79" s="66"/>
      <c r="DL79" s="47">
        <f t="shared" si="59"/>
        <v>-724672</v>
      </c>
      <c r="DM79" s="47"/>
      <c r="DO79" s="47">
        <f>VLOOKUP($AA79,[1]Assumptions!$B$5:$H$14,7,0)*(+DL79+DM79)</f>
        <v>-21740.16</v>
      </c>
      <c r="DP79" s="47">
        <f>VLOOKUP($AB79,[1]Assumptions!$B$19:$H$25,7,0)*(+DL79+DM79)</f>
        <v>-7246.72</v>
      </c>
      <c r="DS79" s="47"/>
      <c r="DU79" s="47">
        <f t="shared" si="61"/>
        <v>-753658.88</v>
      </c>
      <c r="DZ79" s="47">
        <f t="shared" si="62"/>
        <v>-753658.88</v>
      </c>
      <c r="EA79" s="66"/>
    </row>
    <row r="80" spans="1:131" x14ac:dyDescent="0.2">
      <c r="A80" s="38" t="s">
        <v>380</v>
      </c>
      <c r="B80" s="56" t="s">
        <v>195</v>
      </c>
      <c r="C80" s="54" t="s">
        <v>196</v>
      </c>
      <c r="D80" s="54"/>
      <c r="E80" s="57">
        <v>289000</v>
      </c>
      <c r="F80" s="58"/>
      <c r="G80" s="58"/>
      <c r="H80" s="58"/>
      <c r="I80" s="58"/>
      <c r="J80" s="58"/>
      <c r="K80" s="102"/>
      <c r="L80" s="58"/>
      <c r="M80" s="58"/>
      <c r="N80" s="58"/>
      <c r="O80" s="58"/>
      <c r="P80" s="58"/>
      <c r="Q80" s="58"/>
      <c r="R80" s="58"/>
      <c r="S80" s="58"/>
      <c r="T80" s="42">
        <f t="shared" si="64"/>
        <v>289000</v>
      </c>
      <c r="U80" s="43"/>
      <c r="V80" s="139">
        <v>289000</v>
      </c>
      <c r="W80" s="143" t="s">
        <v>368</v>
      </c>
      <c r="X80" s="143">
        <v>11</v>
      </c>
      <c r="Y80" s="172" t="s">
        <v>424</v>
      </c>
      <c r="Z80" s="171" t="s">
        <v>430</v>
      </c>
      <c r="AA80" s="247" t="s">
        <v>514</v>
      </c>
      <c r="AB80" s="187" t="s">
        <v>459</v>
      </c>
      <c r="AC80" s="34"/>
      <c r="AD80" s="35">
        <v>8670</v>
      </c>
      <c r="AE80" s="34"/>
      <c r="AF80" s="34"/>
      <c r="AG80" s="55"/>
      <c r="AH80" s="55"/>
      <c r="AI80" s="55"/>
      <c r="AJ80" s="58"/>
      <c r="AK80" s="55"/>
      <c r="AL80" s="55"/>
      <c r="AN80" s="128">
        <v>0</v>
      </c>
      <c r="AO80" s="55"/>
      <c r="AP80" s="46">
        <f t="shared" si="34"/>
        <v>297670</v>
      </c>
      <c r="AQ80" s="47"/>
      <c r="AW80" s="48">
        <f t="shared" si="35"/>
        <v>297670</v>
      </c>
      <c r="AX80" s="66"/>
      <c r="AY80" s="47">
        <f t="shared" si="65"/>
        <v>297670</v>
      </c>
      <c r="AZ80" s="47"/>
      <c r="BB80" s="47" t="e">
        <f>VLOOKUP($AA80,#REF!,3,0)*(+AY80+AZ80)</f>
        <v>#REF!</v>
      </c>
      <c r="BC80" s="47" t="e">
        <f>VLOOKUP($AB80,#REF!,3,0)*(+AY80+AZ80)</f>
        <v>#REF!</v>
      </c>
      <c r="BE80" s="47"/>
      <c r="BH80" s="47" t="e">
        <f t="shared" si="36"/>
        <v>#REF!</v>
      </c>
      <c r="BM80" s="47" t="e">
        <f t="shared" si="37"/>
        <v>#REF!</v>
      </c>
      <c r="BN80" s="66"/>
      <c r="BO80" s="47" t="e">
        <f t="shared" si="66"/>
        <v>#REF!</v>
      </c>
      <c r="BP80" s="47"/>
      <c r="BR80" s="47" t="e">
        <f>VLOOKUP($AA80,#REF!,4,0)*(+BO80+BP80)</f>
        <v>#REF!</v>
      </c>
      <c r="BS80" s="47" t="e">
        <f>VLOOKUP($AB80,#REF!,4,0)*(+BO80+BP80)</f>
        <v>#REF!</v>
      </c>
      <c r="BV80" s="47"/>
      <c r="BX80" s="47"/>
      <c r="BY80" s="47" t="e">
        <f t="shared" si="63"/>
        <v>#REF!</v>
      </c>
      <c r="CD80" s="47" t="e">
        <f t="shared" si="38"/>
        <v>#REF!</v>
      </c>
      <c r="CE80" s="66"/>
      <c r="CF80" s="47" t="e">
        <f t="shared" si="67"/>
        <v>#REF!</v>
      </c>
      <c r="CG80" s="47"/>
      <c r="CI80" s="47" t="e">
        <f>VLOOKUP($AA80,#REF!,5,0)*(+CF80+CG80)</f>
        <v>#REF!</v>
      </c>
      <c r="CJ80" s="47" t="e">
        <f>VLOOKUP($AB80,#REF!,5,0)*(+CF80+CG80)</f>
        <v>#REF!</v>
      </c>
      <c r="CM80" s="47"/>
      <c r="CO80" s="47" t="e">
        <f t="shared" si="39"/>
        <v>#REF!</v>
      </c>
      <c r="CT80" s="47" t="e">
        <f t="shared" si="40"/>
        <v>#REF!</v>
      </c>
      <c r="CU80" s="66"/>
      <c r="CV80" s="47" t="e">
        <f t="shared" si="68"/>
        <v>#REF!</v>
      </c>
      <c r="CW80" s="47"/>
      <c r="CY80" s="47" t="e">
        <f>VLOOKUP($AA80,#REF!,6,0)*(+CV80+CW80)</f>
        <v>#REF!</v>
      </c>
      <c r="CZ80" s="47" t="e">
        <f>VLOOKUP($AB80,#REF!,6,0)*(+CV80+CW80)</f>
        <v>#REF!</v>
      </c>
      <c r="DC80" s="47"/>
      <c r="DE80" s="47" t="e">
        <f t="shared" si="41"/>
        <v>#REF!</v>
      </c>
      <c r="DJ80" s="47" t="e">
        <f t="shared" si="42"/>
        <v>#REF!</v>
      </c>
      <c r="DK80" s="66"/>
      <c r="DL80" s="47" t="e">
        <f t="shared" si="59"/>
        <v>#REF!</v>
      </c>
      <c r="DM80" s="47"/>
      <c r="DO80" s="47" t="e">
        <f>VLOOKUP($AA80,#REF!,7,0)*(+DL80+DM80)</f>
        <v>#REF!</v>
      </c>
      <c r="DP80" s="47" t="e">
        <f>VLOOKUP($AB80,#REF!,7,0)*(+DL80+DM80)</f>
        <v>#REF!</v>
      </c>
      <c r="DS80" s="47"/>
      <c r="DU80" s="47" t="e">
        <f t="shared" si="61"/>
        <v>#REF!</v>
      </c>
      <c r="DZ80" s="47" t="e">
        <f t="shared" si="62"/>
        <v>#REF!</v>
      </c>
      <c r="EA80" s="66"/>
    </row>
    <row r="81" spans="1:131" x14ac:dyDescent="0.2">
      <c r="A81" s="38" t="s">
        <v>380</v>
      </c>
      <c r="B81" s="56" t="s">
        <v>197</v>
      </c>
      <c r="C81" s="54" t="s">
        <v>198</v>
      </c>
      <c r="D81" s="54"/>
      <c r="E81" s="57">
        <v>89457</v>
      </c>
      <c r="F81" s="58"/>
      <c r="G81" s="58"/>
      <c r="H81" s="58"/>
      <c r="I81" s="58"/>
      <c r="J81" s="58"/>
      <c r="K81" s="102"/>
      <c r="L81" s="58"/>
      <c r="M81" s="58"/>
      <c r="N81" s="58"/>
      <c r="O81" s="58"/>
      <c r="P81" s="58"/>
      <c r="Q81" s="58"/>
      <c r="R81" s="58"/>
      <c r="S81" s="58"/>
      <c r="T81" s="42">
        <f t="shared" si="64"/>
        <v>89457</v>
      </c>
      <c r="U81" s="43"/>
      <c r="V81" s="139">
        <v>89457</v>
      </c>
      <c r="W81" s="143" t="s">
        <v>368</v>
      </c>
      <c r="X81" s="143">
        <v>11</v>
      </c>
      <c r="Y81" s="171" t="s">
        <v>423</v>
      </c>
      <c r="Z81" s="171" t="s">
        <v>430</v>
      </c>
      <c r="AA81" s="247" t="s">
        <v>514</v>
      </c>
      <c r="AB81" s="187" t="s">
        <v>459</v>
      </c>
      <c r="AC81" s="34"/>
      <c r="AD81" s="35">
        <v>2683.71</v>
      </c>
      <c r="AE81" s="34"/>
      <c r="AF81" s="34"/>
      <c r="AG81" s="55"/>
      <c r="AH81" s="55"/>
      <c r="AI81" s="55"/>
      <c r="AJ81" s="58"/>
      <c r="AK81" s="55"/>
      <c r="AL81" s="55"/>
      <c r="AN81" s="128">
        <v>0</v>
      </c>
      <c r="AO81" s="55"/>
      <c r="AP81" s="46">
        <f t="shared" si="34"/>
        <v>92140.71</v>
      </c>
      <c r="AQ81" s="47"/>
      <c r="AW81" s="48">
        <f t="shared" si="35"/>
        <v>92140.71</v>
      </c>
      <c r="AX81" s="66"/>
      <c r="AY81" s="47">
        <f t="shared" si="65"/>
        <v>92140.71</v>
      </c>
      <c r="AZ81" s="47"/>
      <c r="BB81" s="47" t="e">
        <f>VLOOKUP($AA81,#REF!,3,0)*(+AY81+AZ81)</f>
        <v>#REF!</v>
      </c>
      <c r="BC81" s="47" t="e">
        <f>VLOOKUP($AB81,#REF!,3,0)*(+AY81+AZ81)</f>
        <v>#REF!</v>
      </c>
      <c r="BE81" s="47"/>
      <c r="BH81" s="47" t="e">
        <f t="shared" si="36"/>
        <v>#REF!</v>
      </c>
      <c r="BM81" s="47" t="e">
        <f t="shared" si="37"/>
        <v>#REF!</v>
      </c>
      <c r="BN81" s="66"/>
      <c r="BO81" s="47" t="e">
        <f t="shared" si="66"/>
        <v>#REF!</v>
      </c>
      <c r="BP81" s="47"/>
      <c r="BR81" s="47" t="e">
        <f>VLOOKUP($AA81,#REF!,4,0)*(+BO81+BP81)</f>
        <v>#REF!</v>
      </c>
      <c r="BS81" s="47" t="e">
        <f>VLOOKUP($AB81,#REF!,4,0)*(+BO81+BP81)</f>
        <v>#REF!</v>
      </c>
      <c r="BV81" s="47"/>
      <c r="BX81" s="47"/>
      <c r="BY81" s="47" t="e">
        <f t="shared" si="63"/>
        <v>#REF!</v>
      </c>
      <c r="CD81" s="47" t="e">
        <f t="shared" si="38"/>
        <v>#REF!</v>
      </c>
      <c r="CE81" s="66"/>
      <c r="CF81" s="47" t="e">
        <f t="shared" si="67"/>
        <v>#REF!</v>
      </c>
      <c r="CG81" s="47"/>
      <c r="CI81" s="47" t="e">
        <f>VLOOKUP($AA81,#REF!,5,0)*(+CF81+CG81)</f>
        <v>#REF!</v>
      </c>
      <c r="CJ81" s="47" t="e">
        <f>VLOOKUP($AB81,#REF!,5,0)*(+CF81+CG81)</f>
        <v>#REF!</v>
      </c>
      <c r="CM81" s="47"/>
      <c r="CO81" s="47" t="e">
        <f t="shared" si="39"/>
        <v>#REF!</v>
      </c>
      <c r="CT81" s="47" t="e">
        <f t="shared" si="40"/>
        <v>#REF!</v>
      </c>
      <c r="CU81" s="66"/>
      <c r="CV81" s="47" t="e">
        <f t="shared" si="68"/>
        <v>#REF!</v>
      </c>
      <c r="CW81" s="47"/>
      <c r="CY81" s="47" t="e">
        <f>VLOOKUP($AA81,#REF!,6,0)*(+CV81+CW81)</f>
        <v>#REF!</v>
      </c>
      <c r="CZ81" s="47" t="e">
        <f>VLOOKUP($AB81,#REF!,6,0)*(+CV81+CW81)</f>
        <v>#REF!</v>
      </c>
      <c r="DC81" s="47"/>
      <c r="DE81" s="47" t="e">
        <f t="shared" si="41"/>
        <v>#REF!</v>
      </c>
      <c r="DJ81" s="47" t="e">
        <f t="shared" si="42"/>
        <v>#REF!</v>
      </c>
      <c r="DK81" s="66"/>
      <c r="DL81" s="47" t="e">
        <f t="shared" si="59"/>
        <v>#REF!</v>
      </c>
      <c r="DM81" s="47"/>
      <c r="DO81" s="47" t="e">
        <f>VLOOKUP($AA81,#REF!,7,0)*(+DL81+DM81)</f>
        <v>#REF!</v>
      </c>
      <c r="DP81" s="47" t="e">
        <f>VLOOKUP($AB81,#REF!,7,0)*(+DL81+DM81)</f>
        <v>#REF!</v>
      </c>
      <c r="DS81" s="47"/>
      <c r="DU81" s="47" t="e">
        <f t="shared" si="61"/>
        <v>#REF!</v>
      </c>
      <c r="DZ81" s="47" t="e">
        <f t="shared" si="62"/>
        <v>#REF!</v>
      </c>
      <c r="EA81" s="66"/>
    </row>
    <row r="82" spans="1:131" x14ac:dyDescent="0.2">
      <c r="A82" s="38" t="s">
        <v>380</v>
      </c>
      <c r="B82" s="39" t="s">
        <v>199</v>
      </c>
      <c r="C82" s="39" t="s">
        <v>200</v>
      </c>
      <c r="D82" s="39"/>
      <c r="E82" s="40">
        <v>8641</v>
      </c>
      <c r="F82" s="41"/>
      <c r="G82" s="41"/>
      <c r="H82" s="41"/>
      <c r="I82" s="41"/>
      <c r="J82" s="41"/>
      <c r="K82" s="51"/>
      <c r="L82" s="41"/>
      <c r="M82" s="41"/>
      <c r="N82" s="41"/>
      <c r="O82" s="41"/>
      <c r="P82" s="41"/>
      <c r="Q82" s="41"/>
      <c r="R82" s="41"/>
      <c r="S82" s="41"/>
      <c r="T82" s="42">
        <f t="shared" si="64"/>
        <v>8641</v>
      </c>
      <c r="U82" s="43"/>
      <c r="V82" s="139">
        <v>8641</v>
      </c>
      <c r="W82" s="143" t="s">
        <v>368</v>
      </c>
      <c r="X82" s="143">
        <v>11</v>
      </c>
      <c r="Y82" s="171" t="s">
        <v>423</v>
      </c>
      <c r="Z82" s="171" t="s">
        <v>430</v>
      </c>
      <c r="AA82" s="247" t="s">
        <v>514</v>
      </c>
      <c r="AB82" s="187" t="s">
        <v>459</v>
      </c>
      <c r="AC82" s="10"/>
      <c r="AD82" s="13">
        <v>259.23</v>
      </c>
      <c r="AE82" s="10"/>
      <c r="AF82" s="10"/>
      <c r="AG82" s="45"/>
      <c r="AH82" s="45"/>
      <c r="AI82" s="45"/>
      <c r="AJ82" s="41"/>
      <c r="AK82" s="45"/>
      <c r="AL82" s="45"/>
      <c r="AN82" s="128">
        <v>0</v>
      </c>
      <c r="AO82" s="45"/>
      <c r="AP82" s="46">
        <f t="shared" si="34"/>
        <v>8900.23</v>
      </c>
      <c r="AQ82" s="47"/>
      <c r="AW82" s="48">
        <f t="shared" si="35"/>
        <v>8900.23</v>
      </c>
      <c r="AX82" s="66"/>
      <c r="AY82" s="47">
        <f t="shared" si="65"/>
        <v>8900.23</v>
      </c>
      <c r="AZ82" s="47"/>
      <c r="BB82" s="47" t="e">
        <f>VLOOKUP($AA82,#REF!,3,0)*(+AY82+AZ82)</f>
        <v>#REF!</v>
      </c>
      <c r="BC82" s="47" t="e">
        <f>VLOOKUP($AB82,#REF!,3,0)*(+AY82+AZ82)</f>
        <v>#REF!</v>
      </c>
      <c r="BE82" s="47"/>
      <c r="BH82" s="47" t="e">
        <f t="shared" si="36"/>
        <v>#REF!</v>
      </c>
      <c r="BM82" s="47" t="e">
        <f t="shared" si="37"/>
        <v>#REF!</v>
      </c>
      <c r="BN82" s="66"/>
      <c r="BO82" s="47" t="e">
        <f t="shared" si="66"/>
        <v>#REF!</v>
      </c>
      <c r="BP82" s="47"/>
      <c r="BR82" s="47" t="e">
        <f>VLOOKUP($AA82,#REF!,4,0)*(+BO82+BP82)</f>
        <v>#REF!</v>
      </c>
      <c r="BS82" s="47" t="e">
        <f>VLOOKUP($AB82,#REF!,4,0)*(+BO82+BP82)</f>
        <v>#REF!</v>
      </c>
      <c r="BV82" s="47"/>
      <c r="BX82" s="47"/>
      <c r="BY82" s="47" t="e">
        <f t="shared" si="63"/>
        <v>#REF!</v>
      </c>
      <c r="CD82" s="47" t="e">
        <f t="shared" si="38"/>
        <v>#REF!</v>
      </c>
      <c r="CE82" s="66"/>
      <c r="CF82" s="47" t="e">
        <f t="shared" si="67"/>
        <v>#REF!</v>
      </c>
      <c r="CG82" s="47"/>
      <c r="CI82" s="47" t="e">
        <f>VLOOKUP($AA82,#REF!,5,0)*(+CF82+CG82)</f>
        <v>#REF!</v>
      </c>
      <c r="CJ82" s="47" t="e">
        <f>VLOOKUP($AB82,#REF!,5,0)*(+CF82+CG82)</f>
        <v>#REF!</v>
      </c>
      <c r="CM82" s="47"/>
      <c r="CO82" s="47" t="e">
        <f t="shared" si="39"/>
        <v>#REF!</v>
      </c>
      <c r="CT82" s="47" t="e">
        <f t="shared" si="40"/>
        <v>#REF!</v>
      </c>
      <c r="CU82" s="66"/>
      <c r="CV82" s="47" t="e">
        <f t="shared" si="68"/>
        <v>#REF!</v>
      </c>
      <c r="CW82" s="47"/>
      <c r="CY82" s="47" t="e">
        <f>VLOOKUP($AA82,#REF!,6,0)*(+CV82+CW82)</f>
        <v>#REF!</v>
      </c>
      <c r="CZ82" s="47" t="e">
        <f>VLOOKUP($AB82,#REF!,6,0)*(+CV82+CW82)</f>
        <v>#REF!</v>
      </c>
      <c r="DC82" s="47"/>
      <c r="DE82" s="47" t="e">
        <f t="shared" si="41"/>
        <v>#REF!</v>
      </c>
      <c r="DJ82" s="47" t="e">
        <f t="shared" si="42"/>
        <v>#REF!</v>
      </c>
      <c r="DK82" s="66"/>
      <c r="DL82" s="47" t="e">
        <f t="shared" si="59"/>
        <v>#REF!</v>
      </c>
      <c r="DM82" s="47"/>
      <c r="DO82" s="47" t="e">
        <f>VLOOKUP($AA82,#REF!,7,0)*(+DL82+DM82)</f>
        <v>#REF!</v>
      </c>
      <c r="DP82" s="47" t="e">
        <f>VLOOKUP($AB82,#REF!,7,0)*(+DL82+DM82)</f>
        <v>#REF!</v>
      </c>
      <c r="DS82" s="47"/>
      <c r="DU82" s="47" t="e">
        <f t="shared" si="61"/>
        <v>#REF!</v>
      </c>
      <c r="DZ82" s="47" t="e">
        <f t="shared" si="62"/>
        <v>#REF!</v>
      </c>
      <c r="EA82" s="66"/>
    </row>
    <row r="83" spans="1:131" x14ac:dyDescent="0.2">
      <c r="A83" s="38" t="s">
        <v>380</v>
      </c>
      <c r="B83" s="39" t="s">
        <v>201</v>
      </c>
      <c r="C83" s="39" t="s">
        <v>202</v>
      </c>
      <c r="D83" s="39"/>
      <c r="E83" s="40">
        <v>387106</v>
      </c>
      <c r="F83" s="41"/>
      <c r="G83" s="41"/>
      <c r="H83" s="41"/>
      <c r="I83" s="41"/>
      <c r="J83" s="41"/>
      <c r="K83" s="51"/>
      <c r="L83" s="41"/>
      <c r="M83" s="41"/>
      <c r="N83" s="41"/>
      <c r="O83" s="41"/>
      <c r="P83" s="41"/>
      <c r="Q83" s="41"/>
      <c r="R83" s="41"/>
      <c r="S83" s="41"/>
      <c r="T83" s="42">
        <f t="shared" si="64"/>
        <v>387106</v>
      </c>
      <c r="U83" s="43"/>
      <c r="V83" s="139">
        <v>387106</v>
      </c>
      <c r="W83" s="143" t="s">
        <v>368</v>
      </c>
      <c r="X83" s="143">
        <v>11</v>
      </c>
      <c r="Y83" s="171" t="s">
        <v>423</v>
      </c>
      <c r="Z83" s="171" t="s">
        <v>430</v>
      </c>
      <c r="AA83" s="247" t="s">
        <v>514</v>
      </c>
      <c r="AB83" s="187" t="s">
        <v>459</v>
      </c>
      <c r="AC83" s="10"/>
      <c r="AD83" s="13">
        <v>11613.18</v>
      </c>
      <c r="AE83" s="10"/>
      <c r="AF83" s="10"/>
      <c r="AG83" s="45"/>
      <c r="AH83" s="45"/>
      <c r="AI83" s="45"/>
      <c r="AJ83" s="41"/>
      <c r="AK83" s="45"/>
      <c r="AL83" s="45"/>
      <c r="AN83" s="128">
        <v>0</v>
      </c>
      <c r="AO83" s="45"/>
      <c r="AP83" s="46">
        <f t="shared" si="34"/>
        <v>398719.18</v>
      </c>
      <c r="AQ83" s="47"/>
      <c r="AW83" s="48">
        <f t="shared" si="35"/>
        <v>398719.18</v>
      </c>
      <c r="AX83" s="66"/>
      <c r="AY83" s="47">
        <f t="shared" si="65"/>
        <v>398719.18</v>
      </c>
      <c r="AZ83" s="47"/>
      <c r="BB83" s="47" t="e">
        <f>VLOOKUP($AA83,#REF!,3,0)*(+AY83+AZ83)</f>
        <v>#REF!</v>
      </c>
      <c r="BC83" s="47" t="e">
        <f>VLOOKUP($AB83,#REF!,3,0)*(+AY83+AZ83)</f>
        <v>#REF!</v>
      </c>
      <c r="BE83" s="47"/>
      <c r="BH83" s="47" t="e">
        <f t="shared" si="36"/>
        <v>#REF!</v>
      </c>
      <c r="BM83" s="47" t="e">
        <f t="shared" si="37"/>
        <v>#REF!</v>
      </c>
      <c r="BN83" s="66"/>
      <c r="BO83" s="47" t="e">
        <f t="shared" si="66"/>
        <v>#REF!</v>
      </c>
      <c r="BP83" s="47"/>
      <c r="BR83" s="47" t="e">
        <f>VLOOKUP($AA83,#REF!,4,0)*(+BO83+BP83)</f>
        <v>#REF!</v>
      </c>
      <c r="BS83" s="47" t="e">
        <f>VLOOKUP($AB83,#REF!,4,0)*(+BO83+BP83)</f>
        <v>#REF!</v>
      </c>
      <c r="BV83" s="47"/>
      <c r="BX83" s="47"/>
      <c r="BY83" s="47" t="e">
        <f t="shared" si="63"/>
        <v>#REF!</v>
      </c>
      <c r="CD83" s="47" t="e">
        <f t="shared" si="38"/>
        <v>#REF!</v>
      </c>
      <c r="CE83" s="66"/>
      <c r="CF83" s="47" t="e">
        <f t="shared" si="67"/>
        <v>#REF!</v>
      </c>
      <c r="CG83" s="47"/>
      <c r="CI83" s="47" t="e">
        <f>VLOOKUP($AA83,#REF!,5,0)*(+CF83+CG83)</f>
        <v>#REF!</v>
      </c>
      <c r="CJ83" s="47" t="e">
        <f>VLOOKUP($AB83,#REF!,5,0)*(+CF83+CG83)</f>
        <v>#REF!</v>
      </c>
      <c r="CM83" s="47"/>
      <c r="CO83" s="47" t="e">
        <f t="shared" si="39"/>
        <v>#REF!</v>
      </c>
      <c r="CT83" s="47" t="e">
        <f t="shared" si="40"/>
        <v>#REF!</v>
      </c>
      <c r="CU83" s="66"/>
      <c r="CV83" s="47" t="e">
        <f t="shared" si="68"/>
        <v>#REF!</v>
      </c>
      <c r="CW83" s="47"/>
      <c r="CY83" s="47" t="e">
        <f>VLOOKUP($AA83,#REF!,6,0)*(+CV83+CW83)</f>
        <v>#REF!</v>
      </c>
      <c r="CZ83" s="47" t="e">
        <f>VLOOKUP($AB83,#REF!,6,0)*(+CV83+CW83)</f>
        <v>#REF!</v>
      </c>
      <c r="DC83" s="47"/>
      <c r="DE83" s="47" t="e">
        <f t="shared" si="41"/>
        <v>#REF!</v>
      </c>
      <c r="DJ83" s="47" t="e">
        <f t="shared" si="42"/>
        <v>#REF!</v>
      </c>
      <c r="DK83" s="66"/>
      <c r="DL83" s="47" t="e">
        <f t="shared" si="59"/>
        <v>#REF!</v>
      </c>
      <c r="DM83" s="47"/>
      <c r="DO83" s="47" t="e">
        <f>VLOOKUP($AA83,#REF!,7,0)*(+DL83+DM83)</f>
        <v>#REF!</v>
      </c>
      <c r="DP83" s="47" t="e">
        <f>VLOOKUP($AB83,#REF!,7,0)*(+DL83+DM83)</f>
        <v>#REF!</v>
      </c>
      <c r="DS83" s="47"/>
      <c r="DU83" s="47" t="e">
        <f t="shared" si="61"/>
        <v>#REF!</v>
      </c>
      <c r="DZ83" s="47" t="e">
        <f t="shared" si="62"/>
        <v>#REF!</v>
      </c>
      <c r="EA83" s="66"/>
    </row>
    <row r="84" spans="1:131" x14ac:dyDescent="0.2">
      <c r="A84" s="38" t="s">
        <v>380</v>
      </c>
      <c r="B84" s="39" t="s">
        <v>203</v>
      </c>
      <c r="C84" s="39" t="s">
        <v>204</v>
      </c>
      <c r="D84" s="39"/>
      <c r="E84" s="40">
        <v>5056</v>
      </c>
      <c r="F84" s="41"/>
      <c r="G84" s="41"/>
      <c r="H84" s="41"/>
      <c r="I84" s="41"/>
      <c r="J84" s="41"/>
      <c r="K84" s="51"/>
      <c r="L84" s="41"/>
      <c r="M84" s="41"/>
      <c r="N84" s="41"/>
      <c r="O84" s="41"/>
      <c r="P84" s="41"/>
      <c r="Q84" s="41"/>
      <c r="R84" s="41"/>
      <c r="S84" s="41"/>
      <c r="T84" s="42">
        <f t="shared" si="64"/>
        <v>5056</v>
      </c>
      <c r="U84" s="43"/>
      <c r="V84" s="139">
        <v>5056</v>
      </c>
      <c r="W84" s="143" t="s">
        <v>368</v>
      </c>
      <c r="X84" s="143">
        <v>11</v>
      </c>
      <c r="Y84" s="171" t="s">
        <v>423</v>
      </c>
      <c r="Z84" s="171" t="s">
        <v>430</v>
      </c>
      <c r="AA84" s="247" t="s">
        <v>514</v>
      </c>
      <c r="AB84" s="187" t="s">
        <v>459</v>
      </c>
      <c r="AC84" s="10"/>
      <c r="AD84" s="13">
        <v>151.68</v>
      </c>
      <c r="AE84" s="10"/>
      <c r="AF84" s="10"/>
      <c r="AG84" s="45"/>
      <c r="AH84" s="45"/>
      <c r="AI84" s="45"/>
      <c r="AJ84" s="41"/>
      <c r="AK84" s="45"/>
      <c r="AL84" s="45"/>
      <c r="AN84" s="128">
        <v>0</v>
      </c>
      <c r="AO84" s="45"/>
      <c r="AP84" s="46">
        <f t="shared" si="34"/>
        <v>5207.68</v>
      </c>
      <c r="AQ84" s="47"/>
      <c r="AW84" s="48">
        <f t="shared" si="35"/>
        <v>5207.68</v>
      </c>
      <c r="AX84" s="66"/>
      <c r="AY84" s="47">
        <f t="shared" si="65"/>
        <v>5207.68</v>
      </c>
      <c r="AZ84" s="47"/>
      <c r="BB84" s="47" t="e">
        <f>VLOOKUP($AA84,#REF!,3,0)*(+AY84+AZ84)</f>
        <v>#REF!</v>
      </c>
      <c r="BC84" s="47" t="e">
        <f>VLOOKUP($AB84,#REF!,3,0)*(+AY84+AZ84)</f>
        <v>#REF!</v>
      </c>
      <c r="BE84" s="47"/>
      <c r="BH84" s="47" t="e">
        <f t="shared" si="36"/>
        <v>#REF!</v>
      </c>
      <c r="BM84" s="47" t="e">
        <f t="shared" si="37"/>
        <v>#REF!</v>
      </c>
      <c r="BN84" s="66"/>
      <c r="BO84" s="47" t="e">
        <f t="shared" si="66"/>
        <v>#REF!</v>
      </c>
      <c r="BP84" s="47"/>
      <c r="BR84" s="47" t="e">
        <f>VLOOKUP($AA84,#REF!,4,0)*(+BO84+BP84)</f>
        <v>#REF!</v>
      </c>
      <c r="BS84" s="47" t="e">
        <f>VLOOKUP($AB84,#REF!,4,0)*(+BO84+BP84)</f>
        <v>#REF!</v>
      </c>
      <c r="BV84" s="47"/>
      <c r="BX84" s="47"/>
      <c r="BY84" s="47" t="e">
        <f t="shared" si="63"/>
        <v>#REF!</v>
      </c>
      <c r="CD84" s="47" t="e">
        <f t="shared" si="38"/>
        <v>#REF!</v>
      </c>
      <c r="CE84" s="66"/>
      <c r="CF84" s="47" t="e">
        <f t="shared" si="67"/>
        <v>#REF!</v>
      </c>
      <c r="CG84" s="47"/>
      <c r="CI84" s="47" t="e">
        <f>VLOOKUP($AA84,#REF!,5,0)*(+CF84+CG84)</f>
        <v>#REF!</v>
      </c>
      <c r="CJ84" s="47" t="e">
        <f>VLOOKUP($AB84,#REF!,5,0)*(+CF84+CG84)</f>
        <v>#REF!</v>
      </c>
      <c r="CM84" s="47"/>
      <c r="CO84" s="47" t="e">
        <f t="shared" si="39"/>
        <v>#REF!</v>
      </c>
      <c r="CT84" s="47" t="e">
        <f t="shared" si="40"/>
        <v>#REF!</v>
      </c>
      <c r="CU84" s="66"/>
      <c r="CV84" s="47" t="e">
        <f t="shared" si="68"/>
        <v>#REF!</v>
      </c>
      <c r="CW84" s="47"/>
      <c r="CY84" s="47" t="e">
        <f>VLOOKUP($AA84,#REF!,6,0)*(+CV84+CW84)</f>
        <v>#REF!</v>
      </c>
      <c r="CZ84" s="47" t="e">
        <f>VLOOKUP($AB84,#REF!,6,0)*(+CV84+CW84)</f>
        <v>#REF!</v>
      </c>
      <c r="DC84" s="47"/>
      <c r="DE84" s="47" t="e">
        <f t="shared" si="41"/>
        <v>#REF!</v>
      </c>
      <c r="DJ84" s="47" t="e">
        <f t="shared" si="42"/>
        <v>#REF!</v>
      </c>
      <c r="DK84" s="66"/>
      <c r="DL84" s="47" t="e">
        <f t="shared" si="59"/>
        <v>#REF!</v>
      </c>
      <c r="DM84" s="47"/>
      <c r="DO84" s="47" t="e">
        <f>VLOOKUP($AA84,#REF!,7,0)*(+DL84+DM84)</f>
        <v>#REF!</v>
      </c>
      <c r="DP84" s="47" t="e">
        <f>VLOOKUP($AB84,#REF!,7,0)*(+DL84+DM84)</f>
        <v>#REF!</v>
      </c>
      <c r="DS84" s="47"/>
      <c r="DU84" s="47" t="e">
        <f t="shared" si="61"/>
        <v>#REF!</v>
      </c>
      <c r="DZ84" s="47" t="e">
        <f t="shared" si="62"/>
        <v>#REF!</v>
      </c>
      <c r="EA84" s="66"/>
    </row>
    <row r="85" spans="1:131" x14ac:dyDescent="0.2">
      <c r="A85" s="38" t="s">
        <v>380</v>
      </c>
      <c r="B85" s="39" t="s">
        <v>205</v>
      </c>
      <c r="C85" s="39" t="s">
        <v>206</v>
      </c>
      <c r="D85" s="39"/>
      <c r="E85" s="40">
        <v>77189</v>
      </c>
      <c r="F85" s="41"/>
      <c r="G85" s="41"/>
      <c r="H85" s="41"/>
      <c r="I85" s="41"/>
      <c r="J85" s="41"/>
      <c r="K85" s="51"/>
      <c r="L85" s="41"/>
      <c r="M85" s="41"/>
      <c r="N85" s="41"/>
      <c r="O85" s="41"/>
      <c r="P85" s="41"/>
      <c r="Q85" s="41"/>
      <c r="R85" s="41"/>
      <c r="S85" s="41"/>
      <c r="T85" s="42">
        <f t="shared" si="64"/>
        <v>77189</v>
      </c>
      <c r="U85" s="43"/>
      <c r="V85" s="139">
        <v>77189</v>
      </c>
      <c r="W85" s="143" t="s">
        <v>368</v>
      </c>
      <c r="X85" s="143">
        <v>11</v>
      </c>
      <c r="Y85" s="171" t="s">
        <v>423</v>
      </c>
      <c r="Z85" s="171" t="s">
        <v>430</v>
      </c>
      <c r="AA85" s="247" t="s">
        <v>514</v>
      </c>
      <c r="AB85" s="187" t="s">
        <v>459</v>
      </c>
      <c r="AC85" s="10"/>
      <c r="AD85" s="13">
        <v>2315.67</v>
      </c>
      <c r="AE85" s="10"/>
      <c r="AF85" s="10"/>
      <c r="AG85" s="45"/>
      <c r="AH85" s="45"/>
      <c r="AI85" s="45"/>
      <c r="AJ85" s="41"/>
      <c r="AK85" s="45"/>
      <c r="AL85" s="45"/>
      <c r="AN85" s="128">
        <v>0</v>
      </c>
      <c r="AO85" s="45"/>
      <c r="AP85" s="46">
        <f t="shared" si="34"/>
        <v>79504.67</v>
      </c>
      <c r="AQ85" s="47"/>
      <c r="AW85" s="48">
        <f t="shared" si="35"/>
        <v>79504.67</v>
      </c>
      <c r="AX85" s="66"/>
      <c r="AY85" s="47">
        <f t="shared" si="65"/>
        <v>79504.67</v>
      </c>
      <c r="AZ85" s="47"/>
      <c r="BB85" s="47" t="e">
        <f>VLOOKUP($AA85,#REF!,3,0)*(+AY85+AZ85)</f>
        <v>#REF!</v>
      </c>
      <c r="BC85" s="47" t="e">
        <f>VLOOKUP($AB85,#REF!,3,0)*(+AY85+AZ85)</f>
        <v>#REF!</v>
      </c>
      <c r="BE85" s="47"/>
      <c r="BH85" s="47" t="e">
        <f t="shared" si="36"/>
        <v>#REF!</v>
      </c>
      <c r="BM85" s="47" t="e">
        <f t="shared" si="37"/>
        <v>#REF!</v>
      </c>
      <c r="BN85" s="66"/>
      <c r="BO85" s="47" t="e">
        <f t="shared" si="66"/>
        <v>#REF!</v>
      </c>
      <c r="BP85" s="47"/>
      <c r="BR85" s="47" t="e">
        <f>VLOOKUP($AA85,#REF!,4,0)*(+BO85+BP85)</f>
        <v>#REF!</v>
      </c>
      <c r="BS85" s="47" t="e">
        <f>VLOOKUP($AB85,#REF!,4,0)*(+BO85+BP85)</f>
        <v>#REF!</v>
      </c>
      <c r="BV85" s="47"/>
      <c r="BX85" s="47"/>
      <c r="BY85" s="47" t="e">
        <f t="shared" si="63"/>
        <v>#REF!</v>
      </c>
      <c r="CD85" s="47" t="e">
        <f t="shared" si="38"/>
        <v>#REF!</v>
      </c>
      <c r="CE85" s="66"/>
      <c r="CF85" s="47" t="e">
        <f t="shared" si="67"/>
        <v>#REF!</v>
      </c>
      <c r="CG85" s="47"/>
      <c r="CI85" s="47" t="e">
        <f>VLOOKUP($AA85,#REF!,5,0)*(+CF85+CG85)</f>
        <v>#REF!</v>
      </c>
      <c r="CJ85" s="47" t="e">
        <f>VLOOKUP($AB85,#REF!,5,0)*(+CF85+CG85)</f>
        <v>#REF!</v>
      </c>
      <c r="CM85" s="47"/>
      <c r="CO85" s="47" t="e">
        <f t="shared" si="39"/>
        <v>#REF!</v>
      </c>
      <c r="CT85" s="47" t="e">
        <f t="shared" si="40"/>
        <v>#REF!</v>
      </c>
      <c r="CU85" s="66"/>
      <c r="CV85" s="47" t="e">
        <f t="shared" si="68"/>
        <v>#REF!</v>
      </c>
      <c r="CW85" s="47"/>
      <c r="CY85" s="47" t="e">
        <f>VLOOKUP($AA85,#REF!,6,0)*(+CV85+CW85)</f>
        <v>#REF!</v>
      </c>
      <c r="CZ85" s="47" t="e">
        <f>VLOOKUP($AB85,#REF!,6,0)*(+CV85+CW85)</f>
        <v>#REF!</v>
      </c>
      <c r="DC85" s="47"/>
      <c r="DE85" s="47" t="e">
        <f t="shared" si="41"/>
        <v>#REF!</v>
      </c>
      <c r="DJ85" s="47" t="e">
        <f t="shared" si="42"/>
        <v>#REF!</v>
      </c>
      <c r="DK85" s="66"/>
      <c r="DL85" s="47" t="e">
        <f t="shared" si="59"/>
        <v>#REF!</v>
      </c>
      <c r="DM85" s="47"/>
      <c r="DO85" s="47" t="e">
        <f>VLOOKUP($AA85,#REF!,7,0)*(+DL85+DM85)</f>
        <v>#REF!</v>
      </c>
      <c r="DP85" s="47" t="e">
        <f>VLOOKUP($AB85,#REF!,7,0)*(+DL85+DM85)</f>
        <v>#REF!</v>
      </c>
      <c r="DS85" s="47"/>
      <c r="DU85" s="47" t="e">
        <f t="shared" si="61"/>
        <v>#REF!</v>
      </c>
      <c r="DZ85" s="47" t="e">
        <f t="shared" si="62"/>
        <v>#REF!</v>
      </c>
      <c r="EA85" s="66"/>
    </row>
    <row r="86" spans="1:131" x14ac:dyDescent="0.2">
      <c r="A86" s="38" t="s">
        <v>380</v>
      </c>
      <c r="B86" s="39" t="s">
        <v>213</v>
      </c>
      <c r="C86" s="39" t="s">
        <v>214</v>
      </c>
      <c r="D86" s="39"/>
      <c r="E86" s="40">
        <v>884615</v>
      </c>
      <c r="F86" s="41"/>
      <c r="G86" s="41"/>
      <c r="H86" s="41"/>
      <c r="I86" s="41">
        <v>-81000</v>
      </c>
      <c r="J86" s="41"/>
      <c r="K86" s="51"/>
      <c r="L86" s="41"/>
      <c r="M86" s="41"/>
      <c r="N86" s="41"/>
      <c r="O86" s="41"/>
      <c r="P86" s="41"/>
      <c r="Q86" s="41"/>
      <c r="R86" s="41"/>
      <c r="S86" s="41"/>
      <c r="T86" s="42">
        <f t="shared" si="64"/>
        <v>803615</v>
      </c>
      <c r="U86" s="43"/>
      <c r="V86" s="139">
        <v>803615</v>
      </c>
      <c r="W86" s="143" t="s">
        <v>368</v>
      </c>
      <c r="X86" s="143">
        <v>11</v>
      </c>
      <c r="Y86" s="171" t="s">
        <v>423</v>
      </c>
      <c r="Z86" s="171" t="s">
        <v>430</v>
      </c>
      <c r="AA86" s="247" t="s">
        <v>514</v>
      </c>
      <c r="AB86" s="187" t="s">
        <v>459</v>
      </c>
      <c r="AC86" s="10"/>
      <c r="AD86" s="13">
        <v>24108.45</v>
      </c>
      <c r="AE86" s="10"/>
      <c r="AF86" s="10"/>
      <c r="AG86" s="45"/>
      <c r="AH86" s="45"/>
      <c r="AI86" s="45"/>
      <c r="AJ86" s="41"/>
      <c r="AK86" s="45"/>
      <c r="AL86" s="45"/>
      <c r="AN86" s="128">
        <v>0</v>
      </c>
      <c r="AO86" s="45"/>
      <c r="AP86" s="46">
        <f t="shared" si="34"/>
        <v>827723.45</v>
      </c>
      <c r="AQ86" s="47"/>
      <c r="AW86" s="48">
        <f t="shared" si="35"/>
        <v>827723.45</v>
      </c>
      <c r="AX86" s="66"/>
      <c r="AY86" s="47">
        <f t="shared" si="65"/>
        <v>827723.45</v>
      </c>
      <c r="AZ86" s="47"/>
      <c r="BB86" s="47" t="e">
        <f>VLOOKUP($AA86,#REF!,3,0)*(+AY86+AZ86)</f>
        <v>#REF!</v>
      </c>
      <c r="BC86" s="47" t="e">
        <f>VLOOKUP($AB86,#REF!,3,0)*(+AY86+AZ86)</f>
        <v>#REF!</v>
      </c>
      <c r="BE86" s="47"/>
      <c r="BH86" s="47" t="e">
        <f t="shared" si="36"/>
        <v>#REF!</v>
      </c>
      <c r="BM86" s="47" t="e">
        <f t="shared" si="37"/>
        <v>#REF!</v>
      </c>
      <c r="BN86" s="66"/>
      <c r="BO86" s="47" t="e">
        <f t="shared" si="66"/>
        <v>#REF!</v>
      </c>
      <c r="BP86" s="47"/>
      <c r="BR86" s="47" t="e">
        <f>VLOOKUP($AA86,#REF!,4,0)*(+BO86+BP86)</f>
        <v>#REF!</v>
      </c>
      <c r="BS86" s="47" t="e">
        <f>VLOOKUP($AB86,#REF!,4,0)*(+BO86+BP86)</f>
        <v>#REF!</v>
      </c>
      <c r="BV86" s="47"/>
      <c r="BX86" s="47"/>
      <c r="BY86" s="47" t="e">
        <f t="shared" si="63"/>
        <v>#REF!</v>
      </c>
      <c r="CD86" s="47" t="e">
        <f t="shared" si="38"/>
        <v>#REF!</v>
      </c>
      <c r="CE86" s="66"/>
      <c r="CF86" s="47" t="e">
        <f t="shared" si="67"/>
        <v>#REF!</v>
      </c>
      <c r="CG86" s="47"/>
      <c r="CI86" s="47" t="e">
        <f>VLOOKUP($AA86,#REF!,5,0)*(+CF86+CG86)</f>
        <v>#REF!</v>
      </c>
      <c r="CJ86" s="47" t="e">
        <f>VLOOKUP($AB86,#REF!,5,0)*(+CF86+CG86)</f>
        <v>#REF!</v>
      </c>
      <c r="CM86" s="47"/>
      <c r="CO86" s="47" t="e">
        <f t="shared" si="39"/>
        <v>#REF!</v>
      </c>
      <c r="CT86" s="47" t="e">
        <f t="shared" si="40"/>
        <v>#REF!</v>
      </c>
      <c r="CU86" s="66"/>
      <c r="CV86" s="47" t="e">
        <f t="shared" si="68"/>
        <v>#REF!</v>
      </c>
      <c r="CW86" s="47"/>
      <c r="CY86" s="47" t="e">
        <f>VLOOKUP($AA86,#REF!,6,0)*(+CV86+CW86)</f>
        <v>#REF!</v>
      </c>
      <c r="CZ86" s="47" t="e">
        <f>VLOOKUP($AB86,#REF!,6,0)*(+CV86+CW86)</f>
        <v>#REF!</v>
      </c>
      <c r="DC86" s="47"/>
      <c r="DE86" s="47" t="e">
        <f t="shared" si="41"/>
        <v>#REF!</v>
      </c>
      <c r="DJ86" s="47" t="e">
        <f t="shared" si="42"/>
        <v>#REF!</v>
      </c>
      <c r="DK86" s="66"/>
      <c r="DL86" s="47" t="e">
        <f t="shared" si="59"/>
        <v>#REF!</v>
      </c>
      <c r="DM86" s="47"/>
      <c r="DO86" s="47" t="e">
        <f>VLOOKUP($AA86,#REF!,7,0)*(+DL86+DM86)</f>
        <v>#REF!</v>
      </c>
      <c r="DP86" s="47" t="e">
        <f>VLOOKUP($AB86,#REF!,7,0)*(+DL86+DM86)</f>
        <v>#REF!</v>
      </c>
      <c r="DS86" s="47"/>
      <c r="DU86" s="47" t="e">
        <f t="shared" si="61"/>
        <v>#REF!</v>
      </c>
      <c r="DZ86" s="47" t="e">
        <f t="shared" si="62"/>
        <v>#REF!</v>
      </c>
      <c r="EA86" s="66"/>
    </row>
    <row r="87" spans="1:131" x14ac:dyDescent="0.2">
      <c r="A87" s="38" t="s">
        <v>380</v>
      </c>
      <c r="B87" s="39" t="s">
        <v>215</v>
      </c>
      <c r="C87" s="39" t="s">
        <v>216</v>
      </c>
      <c r="D87" s="39"/>
      <c r="E87" s="40">
        <v>14466</v>
      </c>
      <c r="F87" s="41"/>
      <c r="G87" s="41"/>
      <c r="H87" s="41"/>
      <c r="I87" s="41"/>
      <c r="J87" s="41"/>
      <c r="K87" s="51"/>
      <c r="L87" s="41"/>
      <c r="M87" s="41"/>
      <c r="N87" s="41"/>
      <c r="O87" s="41"/>
      <c r="P87" s="41"/>
      <c r="Q87" s="41"/>
      <c r="R87" s="41"/>
      <c r="S87" s="41"/>
      <c r="T87" s="42">
        <f t="shared" si="64"/>
        <v>14466</v>
      </c>
      <c r="U87" s="43"/>
      <c r="V87" s="139">
        <v>14466</v>
      </c>
      <c r="W87" s="143" t="s">
        <v>368</v>
      </c>
      <c r="X87" s="143">
        <v>11</v>
      </c>
      <c r="Y87" s="171" t="s">
        <v>423</v>
      </c>
      <c r="Z87" s="171" t="s">
        <v>430</v>
      </c>
      <c r="AA87" s="247" t="s">
        <v>514</v>
      </c>
      <c r="AB87" s="187" t="s">
        <v>459</v>
      </c>
      <c r="AC87" s="10"/>
      <c r="AD87" s="13">
        <v>433.97999999999996</v>
      </c>
      <c r="AE87" s="10"/>
      <c r="AF87" s="10"/>
      <c r="AG87" s="45"/>
      <c r="AH87" s="45"/>
      <c r="AI87" s="45"/>
      <c r="AJ87" s="41"/>
      <c r="AK87" s="45"/>
      <c r="AL87" s="45"/>
      <c r="AN87" s="128">
        <v>0</v>
      </c>
      <c r="AO87" s="45"/>
      <c r="AP87" s="46">
        <f t="shared" si="34"/>
        <v>14899.98</v>
      </c>
      <c r="AQ87" s="47"/>
      <c r="AW87" s="48">
        <f t="shared" si="35"/>
        <v>14899.98</v>
      </c>
      <c r="AX87" s="66"/>
      <c r="AY87" s="47">
        <f t="shared" si="65"/>
        <v>14899.98</v>
      </c>
      <c r="AZ87" s="47"/>
      <c r="BB87" s="47" t="e">
        <f>VLOOKUP($AA87,#REF!,3,0)*(+AY87+AZ87)</f>
        <v>#REF!</v>
      </c>
      <c r="BC87" s="47" t="e">
        <f>VLOOKUP($AB87,#REF!,3,0)*(+AY87+AZ87)</f>
        <v>#REF!</v>
      </c>
      <c r="BE87" s="47"/>
      <c r="BH87" s="47" t="e">
        <f t="shared" si="36"/>
        <v>#REF!</v>
      </c>
      <c r="BM87" s="47" t="e">
        <f t="shared" si="37"/>
        <v>#REF!</v>
      </c>
      <c r="BN87" s="66"/>
      <c r="BO87" s="47" t="e">
        <f t="shared" si="66"/>
        <v>#REF!</v>
      </c>
      <c r="BP87" s="47"/>
      <c r="BR87" s="47" t="e">
        <f>VLOOKUP($AA87,#REF!,4,0)*(+BO87+BP87)</f>
        <v>#REF!</v>
      </c>
      <c r="BS87" s="47" t="e">
        <f>VLOOKUP($AB87,#REF!,4,0)*(+BO87+BP87)</f>
        <v>#REF!</v>
      </c>
      <c r="BV87" s="47"/>
      <c r="BX87" s="47"/>
      <c r="BY87" s="47" t="e">
        <f t="shared" si="63"/>
        <v>#REF!</v>
      </c>
      <c r="CD87" s="47" t="e">
        <f t="shared" si="38"/>
        <v>#REF!</v>
      </c>
      <c r="CE87" s="66"/>
      <c r="CF87" s="47" t="e">
        <f t="shared" si="67"/>
        <v>#REF!</v>
      </c>
      <c r="CG87" s="47"/>
      <c r="CI87" s="47" t="e">
        <f>VLOOKUP($AA87,#REF!,5,0)*(+CF87+CG87)</f>
        <v>#REF!</v>
      </c>
      <c r="CJ87" s="47" t="e">
        <f>VLOOKUP($AB87,#REF!,5,0)*(+CF87+CG87)</f>
        <v>#REF!</v>
      </c>
      <c r="CM87" s="47"/>
      <c r="CO87" s="47" t="e">
        <f t="shared" si="39"/>
        <v>#REF!</v>
      </c>
      <c r="CT87" s="47" t="e">
        <f t="shared" si="40"/>
        <v>#REF!</v>
      </c>
      <c r="CU87" s="66"/>
      <c r="CV87" s="47" t="e">
        <f t="shared" si="68"/>
        <v>#REF!</v>
      </c>
      <c r="CW87" s="47"/>
      <c r="CY87" s="47" t="e">
        <f>VLOOKUP($AA87,#REF!,6,0)*(+CV87+CW87)</f>
        <v>#REF!</v>
      </c>
      <c r="CZ87" s="47" t="e">
        <f>VLOOKUP($AB87,#REF!,6,0)*(+CV87+CW87)</f>
        <v>#REF!</v>
      </c>
      <c r="DC87" s="47"/>
      <c r="DE87" s="47" t="e">
        <f t="shared" si="41"/>
        <v>#REF!</v>
      </c>
      <c r="DJ87" s="47" t="e">
        <f t="shared" si="42"/>
        <v>#REF!</v>
      </c>
      <c r="DK87" s="66"/>
      <c r="DL87" s="47" t="e">
        <f t="shared" si="59"/>
        <v>#REF!</v>
      </c>
      <c r="DM87" s="47"/>
      <c r="DO87" s="47" t="e">
        <f>VLOOKUP($AA87,#REF!,7,0)*(+DL87+DM87)</f>
        <v>#REF!</v>
      </c>
      <c r="DP87" s="47" t="e">
        <f>VLOOKUP($AB87,#REF!,7,0)*(+DL87+DM87)</f>
        <v>#REF!</v>
      </c>
      <c r="DS87" s="47"/>
      <c r="DU87" s="47" t="e">
        <f t="shared" si="61"/>
        <v>#REF!</v>
      </c>
      <c r="DZ87" s="47" t="e">
        <f t="shared" si="62"/>
        <v>#REF!</v>
      </c>
      <c r="EA87" s="66"/>
    </row>
    <row r="88" spans="1:131" x14ac:dyDescent="0.2">
      <c r="A88" s="38" t="s">
        <v>380</v>
      </c>
      <c r="B88" s="39" t="s">
        <v>217</v>
      </c>
      <c r="C88" s="39" t="s">
        <v>218</v>
      </c>
      <c r="D88" s="39"/>
      <c r="E88" s="40">
        <v>116099</v>
      </c>
      <c r="F88" s="41"/>
      <c r="G88" s="41"/>
      <c r="H88" s="41"/>
      <c r="I88" s="41"/>
      <c r="J88" s="41">
        <v>-1456</v>
      </c>
      <c r="K88" s="51"/>
      <c r="L88" s="41"/>
      <c r="M88" s="41"/>
      <c r="N88" s="41"/>
      <c r="O88" s="41"/>
      <c r="P88" s="41"/>
      <c r="Q88" s="41"/>
      <c r="R88" s="41"/>
      <c r="S88" s="41"/>
      <c r="T88" s="42">
        <f t="shared" si="64"/>
        <v>114643</v>
      </c>
      <c r="U88" s="43"/>
      <c r="V88" s="139">
        <v>114643</v>
      </c>
      <c r="W88" s="143" t="s">
        <v>368</v>
      </c>
      <c r="X88" s="143">
        <v>11</v>
      </c>
      <c r="Y88" s="171" t="s">
        <v>423</v>
      </c>
      <c r="Z88" s="171" t="s">
        <v>430</v>
      </c>
      <c r="AA88" s="247" t="s">
        <v>514</v>
      </c>
      <c r="AB88" s="187" t="s">
        <v>459</v>
      </c>
      <c r="AC88" s="10"/>
      <c r="AD88" s="13">
        <v>2636.7889999999998</v>
      </c>
      <c r="AE88" s="10"/>
      <c r="AF88" s="10"/>
      <c r="AG88" s="45"/>
      <c r="AH88" s="45"/>
      <c r="AI88" s="45"/>
      <c r="AJ88" s="41"/>
      <c r="AK88" s="45"/>
      <c r="AL88" s="45"/>
      <c r="AN88" s="128">
        <v>0</v>
      </c>
      <c r="AO88" s="45"/>
      <c r="AP88" s="46">
        <f t="shared" si="34"/>
        <v>117279.789</v>
      </c>
      <c r="AQ88" s="47"/>
      <c r="AW88" s="48">
        <f t="shared" si="35"/>
        <v>117279.789</v>
      </c>
      <c r="AX88" s="66"/>
      <c r="AY88" s="47">
        <f t="shared" si="65"/>
        <v>117279.789</v>
      </c>
      <c r="AZ88" s="47"/>
      <c r="BB88" s="47" t="e">
        <f>VLOOKUP($AA88,#REF!,3,0)*(+AY88+AZ88)</f>
        <v>#REF!</v>
      </c>
      <c r="BC88" s="47" t="e">
        <f>VLOOKUP($AB88,#REF!,3,0)*(+AY88+AZ88)</f>
        <v>#REF!</v>
      </c>
      <c r="BE88" s="47"/>
      <c r="BF88" s="47"/>
      <c r="BH88" s="47" t="e">
        <f t="shared" si="36"/>
        <v>#REF!</v>
      </c>
      <c r="BM88" s="47" t="e">
        <f t="shared" si="37"/>
        <v>#REF!</v>
      </c>
      <c r="BN88" s="66"/>
      <c r="BO88" s="47" t="e">
        <f t="shared" si="66"/>
        <v>#REF!</v>
      </c>
      <c r="BP88" s="47"/>
      <c r="BR88" s="47" t="e">
        <f>VLOOKUP($AA88,#REF!,4,0)*(+BO88+BP88)</f>
        <v>#REF!</v>
      </c>
      <c r="BS88" s="47" t="e">
        <f>VLOOKUP($AB88,#REF!,4,0)*(+BO88+BP88)</f>
        <v>#REF!</v>
      </c>
      <c r="BV88" s="47"/>
      <c r="BX88" s="47"/>
      <c r="BY88" s="47" t="e">
        <f t="shared" si="63"/>
        <v>#REF!</v>
      </c>
      <c r="CD88" s="47" t="e">
        <f t="shared" si="38"/>
        <v>#REF!</v>
      </c>
      <c r="CE88" s="66"/>
      <c r="CF88" s="47" t="e">
        <f t="shared" si="67"/>
        <v>#REF!</v>
      </c>
      <c r="CG88" s="47"/>
      <c r="CI88" s="47" t="e">
        <f>VLOOKUP($AA88,#REF!,5,0)*(+CF88+CG88)</f>
        <v>#REF!</v>
      </c>
      <c r="CJ88" s="47" t="e">
        <f>VLOOKUP($AB88,#REF!,5,0)*(+CF88+CG88)</f>
        <v>#REF!</v>
      </c>
      <c r="CM88" s="47"/>
      <c r="CO88" s="47" t="e">
        <f t="shared" si="39"/>
        <v>#REF!</v>
      </c>
      <c r="CT88" s="47" t="e">
        <f t="shared" si="40"/>
        <v>#REF!</v>
      </c>
      <c r="CU88" s="66"/>
      <c r="CV88" s="47" t="e">
        <f t="shared" si="68"/>
        <v>#REF!</v>
      </c>
      <c r="CW88" s="47"/>
      <c r="CY88" s="47" t="e">
        <f>VLOOKUP($AA88,#REF!,6,0)*(+CV88+CW88)</f>
        <v>#REF!</v>
      </c>
      <c r="CZ88" s="47" t="e">
        <f>VLOOKUP($AB88,#REF!,6,0)*(+CV88+CW88)</f>
        <v>#REF!</v>
      </c>
      <c r="DC88" s="47"/>
      <c r="DE88" s="47" t="e">
        <f t="shared" si="41"/>
        <v>#REF!</v>
      </c>
      <c r="DJ88" s="47" t="e">
        <f t="shared" si="42"/>
        <v>#REF!</v>
      </c>
      <c r="DK88" s="66"/>
      <c r="DL88" s="47" t="e">
        <f t="shared" si="59"/>
        <v>#REF!</v>
      </c>
      <c r="DM88" s="47"/>
      <c r="DO88" s="47" t="e">
        <f>VLOOKUP($AA88,#REF!,7,0)*(+DL88+DM88)</f>
        <v>#REF!</v>
      </c>
      <c r="DP88" s="47" t="e">
        <f>VLOOKUP($AB88,#REF!,7,0)*(+DL88+DM88)</f>
        <v>#REF!</v>
      </c>
      <c r="DS88" s="47"/>
      <c r="DU88" s="47" t="e">
        <f t="shared" si="61"/>
        <v>#REF!</v>
      </c>
      <c r="DZ88" s="47" t="e">
        <f t="shared" si="62"/>
        <v>#REF!</v>
      </c>
      <c r="EA88" s="66"/>
    </row>
    <row r="89" spans="1:131" x14ac:dyDescent="0.2">
      <c r="A89" s="38" t="s">
        <v>380</v>
      </c>
      <c r="B89" s="39" t="s">
        <v>219</v>
      </c>
      <c r="C89" s="39" t="s">
        <v>220</v>
      </c>
      <c r="D89" s="39"/>
      <c r="E89" s="40">
        <v>37820</v>
      </c>
      <c r="F89" s="41"/>
      <c r="G89" s="41"/>
      <c r="H89" s="41"/>
      <c r="I89" s="41"/>
      <c r="J89" s="41"/>
      <c r="K89" s="51"/>
      <c r="L89" s="41"/>
      <c r="M89" s="41"/>
      <c r="N89" s="41"/>
      <c r="O89" s="41"/>
      <c r="P89" s="41"/>
      <c r="Q89" s="41"/>
      <c r="R89" s="41"/>
      <c r="S89" s="41"/>
      <c r="T89" s="42">
        <f t="shared" si="64"/>
        <v>37820</v>
      </c>
      <c r="U89" s="43"/>
      <c r="V89" s="139">
        <v>37820</v>
      </c>
      <c r="W89" s="143" t="s">
        <v>368</v>
      </c>
      <c r="X89" s="143">
        <v>11</v>
      </c>
      <c r="Y89" s="171" t="s">
        <v>423</v>
      </c>
      <c r="Z89" s="171" t="s">
        <v>430</v>
      </c>
      <c r="AA89" s="247" t="s">
        <v>514</v>
      </c>
      <c r="AB89" s="187" t="s">
        <v>459</v>
      </c>
      <c r="AC89" s="10"/>
      <c r="AD89" s="13">
        <v>869.86</v>
      </c>
      <c r="AE89" s="10"/>
      <c r="AF89" s="10"/>
      <c r="AG89" s="45"/>
      <c r="AH89" s="45"/>
      <c r="AI89" s="45"/>
      <c r="AJ89" s="41"/>
      <c r="AK89" s="45"/>
      <c r="AL89" s="45"/>
      <c r="AN89" s="128">
        <v>0</v>
      </c>
      <c r="AO89" s="45"/>
      <c r="AP89" s="46">
        <f t="shared" si="34"/>
        <v>38689.86</v>
      </c>
      <c r="AQ89" s="47"/>
      <c r="AW89" s="48">
        <f t="shared" si="35"/>
        <v>38689.86</v>
      </c>
      <c r="AX89" s="66"/>
      <c r="AY89" s="47">
        <f t="shared" si="65"/>
        <v>38689.86</v>
      </c>
      <c r="AZ89" s="47"/>
      <c r="BB89" s="47" t="e">
        <f>VLOOKUP($AA89,#REF!,3,0)*(+AY89+AZ89)</f>
        <v>#REF!</v>
      </c>
      <c r="BC89" s="47" t="e">
        <f>VLOOKUP($AB89,#REF!,3,0)*(+AY89+AZ89)</f>
        <v>#REF!</v>
      </c>
      <c r="BE89" s="47"/>
      <c r="BF89" s="47"/>
      <c r="BH89" s="47" t="e">
        <f t="shared" si="36"/>
        <v>#REF!</v>
      </c>
      <c r="BM89" s="47" t="e">
        <f t="shared" si="37"/>
        <v>#REF!</v>
      </c>
      <c r="BN89" s="66"/>
      <c r="BO89" s="47" t="e">
        <f t="shared" si="66"/>
        <v>#REF!</v>
      </c>
      <c r="BP89" s="47"/>
      <c r="BR89" s="47" t="e">
        <f>VLOOKUP($AA89,#REF!,4,0)*(+BO89+BP89)</f>
        <v>#REF!</v>
      </c>
      <c r="BS89" s="47" t="e">
        <f>VLOOKUP($AB89,#REF!,4,0)*(+BO89+BP89)</f>
        <v>#REF!</v>
      </c>
      <c r="BV89" s="47"/>
      <c r="BX89" s="47"/>
      <c r="BY89" s="47" t="e">
        <f t="shared" si="63"/>
        <v>#REF!</v>
      </c>
      <c r="CD89" s="47" t="e">
        <f t="shared" si="38"/>
        <v>#REF!</v>
      </c>
      <c r="CE89" s="66"/>
      <c r="CF89" s="47" t="e">
        <f t="shared" si="67"/>
        <v>#REF!</v>
      </c>
      <c r="CG89" s="47"/>
      <c r="CI89" s="47" t="e">
        <f>VLOOKUP($AA89,#REF!,5,0)*(+CF89+CG89)</f>
        <v>#REF!</v>
      </c>
      <c r="CJ89" s="47" t="e">
        <f>VLOOKUP($AB89,#REF!,5,0)*(+CF89+CG89)</f>
        <v>#REF!</v>
      </c>
      <c r="CM89" s="47"/>
      <c r="CO89" s="47" t="e">
        <f t="shared" si="39"/>
        <v>#REF!</v>
      </c>
      <c r="CT89" s="47" t="e">
        <f t="shared" si="40"/>
        <v>#REF!</v>
      </c>
      <c r="CU89" s="66"/>
      <c r="CV89" s="47" t="e">
        <f t="shared" si="68"/>
        <v>#REF!</v>
      </c>
      <c r="CW89" s="47"/>
      <c r="CY89" s="47" t="e">
        <f>VLOOKUP($AA89,#REF!,6,0)*(+CV89+CW89)</f>
        <v>#REF!</v>
      </c>
      <c r="CZ89" s="47" t="e">
        <f>VLOOKUP($AB89,#REF!,6,0)*(+CV89+CW89)</f>
        <v>#REF!</v>
      </c>
      <c r="DC89" s="47"/>
      <c r="DE89" s="47" t="e">
        <f t="shared" si="41"/>
        <v>#REF!</v>
      </c>
      <c r="DJ89" s="47" t="e">
        <f t="shared" si="42"/>
        <v>#REF!</v>
      </c>
      <c r="DK89" s="66"/>
      <c r="DL89" s="47" t="e">
        <f t="shared" si="59"/>
        <v>#REF!</v>
      </c>
      <c r="DM89" s="47"/>
      <c r="DO89" s="47" t="e">
        <f>VLOOKUP($AA89,#REF!,7,0)*(+DL89+DM89)</f>
        <v>#REF!</v>
      </c>
      <c r="DP89" s="47" t="e">
        <f>VLOOKUP($AB89,#REF!,7,0)*(+DL89+DM89)</f>
        <v>#REF!</v>
      </c>
      <c r="DS89" s="47"/>
      <c r="DU89" s="47" t="e">
        <f t="shared" si="61"/>
        <v>#REF!</v>
      </c>
      <c r="DZ89" s="47" t="e">
        <f t="shared" si="62"/>
        <v>#REF!</v>
      </c>
      <c r="EA89" s="66"/>
    </row>
    <row r="90" spans="1:131" x14ac:dyDescent="0.2">
      <c r="A90" s="38" t="s">
        <v>380</v>
      </c>
      <c r="B90" s="39" t="s">
        <v>221</v>
      </c>
      <c r="C90" s="39" t="s">
        <v>222</v>
      </c>
      <c r="D90" s="39"/>
      <c r="E90" s="40">
        <v>17420</v>
      </c>
      <c r="F90" s="41"/>
      <c r="G90" s="41"/>
      <c r="H90" s="41"/>
      <c r="I90" s="41">
        <v>-17420</v>
      </c>
      <c r="J90" s="41"/>
      <c r="K90" s="51"/>
      <c r="L90" s="41"/>
      <c r="M90" s="41"/>
      <c r="N90" s="41"/>
      <c r="O90" s="41"/>
      <c r="P90" s="41"/>
      <c r="Q90" s="41"/>
      <c r="R90" s="41"/>
      <c r="S90" s="41"/>
      <c r="T90" s="42">
        <f t="shared" si="64"/>
        <v>0</v>
      </c>
      <c r="U90" s="43"/>
      <c r="V90" s="139">
        <v>0</v>
      </c>
      <c r="W90" s="143" t="s">
        <v>368</v>
      </c>
      <c r="X90" s="143">
        <v>11</v>
      </c>
      <c r="Y90" s="171" t="s">
        <v>423</v>
      </c>
      <c r="Z90" s="171" t="s">
        <v>430</v>
      </c>
      <c r="AA90" s="247" t="s">
        <v>514</v>
      </c>
      <c r="AB90" s="187" t="s">
        <v>459</v>
      </c>
      <c r="AC90" s="10"/>
      <c r="AD90" s="13">
        <v>0</v>
      </c>
      <c r="AE90" s="10"/>
      <c r="AF90" s="10"/>
      <c r="AG90" s="45"/>
      <c r="AH90" s="45"/>
      <c r="AI90" s="45"/>
      <c r="AJ90" s="41"/>
      <c r="AK90" s="45"/>
      <c r="AL90" s="45"/>
      <c r="AN90" s="128">
        <v>0</v>
      </c>
      <c r="AO90" s="45"/>
      <c r="AP90" s="46">
        <f t="shared" si="34"/>
        <v>0</v>
      </c>
      <c r="AQ90" s="47"/>
      <c r="AW90" s="48">
        <f t="shared" si="35"/>
        <v>0</v>
      </c>
      <c r="AX90" s="66"/>
      <c r="AY90" s="47">
        <f t="shared" si="65"/>
        <v>0</v>
      </c>
      <c r="AZ90" s="47"/>
      <c r="BB90" s="47" t="e">
        <f>VLOOKUP($AA90,#REF!,3,0)*(+AY90+AZ90)</f>
        <v>#REF!</v>
      </c>
      <c r="BC90" s="47" t="e">
        <f>VLOOKUP($AB90,#REF!,3,0)*(+AY90+AZ90)</f>
        <v>#REF!</v>
      </c>
      <c r="BE90" s="47"/>
      <c r="BF90" s="47"/>
      <c r="BH90" s="47" t="e">
        <f t="shared" si="36"/>
        <v>#REF!</v>
      </c>
      <c r="BM90" s="47" t="e">
        <f t="shared" si="37"/>
        <v>#REF!</v>
      </c>
      <c r="BN90" s="66"/>
      <c r="BO90" s="47" t="e">
        <f t="shared" si="66"/>
        <v>#REF!</v>
      </c>
      <c r="BP90" s="47"/>
      <c r="BR90" s="47" t="e">
        <f>VLOOKUP($AA90,#REF!,4,0)*(+BO90+BP90)</f>
        <v>#REF!</v>
      </c>
      <c r="BS90" s="47" t="e">
        <f>VLOOKUP($AB90,#REF!,4,0)*(+BO90+BP90)</f>
        <v>#REF!</v>
      </c>
      <c r="BV90" s="47"/>
      <c r="BX90" s="47"/>
      <c r="BY90" s="47" t="e">
        <f t="shared" si="63"/>
        <v>#REF!</v>
      </c>
      <c r="CD90" s="47" t="e">
        <f t="shared" si="38"/>
        <v>#REF!</v>
      </c>
      <c r="CE90" s="66"/>
      <c r="CF90" s="47" t="e">
        <f t="shared" si="67"/>
        <v>#REF!</v>
      </c>
      <c r="CG90" s="47"/>
      <c r="CI90" s="47" t="e">
        <f>VLOOKUP($AA90,#REF!,5,0)*(+CF90+CG90)</f>
        <v>#REF!</v>
      </c>
      <c r="CJ90" s="47" t="e">
        <f>VLOOKUP($AB90,#REF!,5,0)*(+CF90+CG90)</f>
        <v>#REF!</v>
      </c>
      <c r="CM90" s="47"/>
      <c r="CO90" s="47" t="e">
        <f t="shared" si="39"/>
        <v>#REF!</v>
      </c>
      <c r="CT90" s="47" t="e">
        <f t="shared" si="40"/>
        <v>#REF!</v>
      </c>
      <c r="CU90" s="66"/>
      <c r="CV90" s="47" t="e">
        <f t="shared" si="68"/>
        <v>#REF!</v>
      </c>
      <c r="CW90" s="47"/>
      <c r="CY90" s="47" t="e">
        <f>VLOOKUP($AA90,#REF!,6,0)*(+CV90+CW90)</f>
        <v>#REF!</v>
      </c>
      <c r="CZ90" s="47" t="e">
        <f>VLOOKUP($AB90,#REF!,6,0)*(+CV90+CW90)</f>
        <v>#REF!</v>
      </c>
      <c r="DC90" s="47"/>
      <c r="DE90" s="47" t="e">
        <f t="shared" si="41"/>
        <v>#REF!</v>
      </c>
      <c r="DJ90" s="47" t="e">
        <f t="shared" si="42"/>
        <v>#REF!</v>
      </c>
      <c r="DK90" s="66"/>
      <c r="DL90" s="47" t="e">
        <f t="shared" si="59"/>
        <v>#REF!</v>
      </c>
      <c r="DM90" s="47"/>
      <c r="DO90" s="47" t="e">
        <f>VLOOKUP($AA90,#REF!,7,0)*(+DL90+DM90)</f>
        <v>#REF!</v>
      </c>
      <c r="DP90" s="47" t="e">
        <f>VLOOKUP($AB90,#REF!,7,0)*(+DL90+DM90)</f>
        <v>#REF!</v>
      </c>
      <c r="DS90" s="47"/>
      <c r="DU90" s="47" t="e">
        <f t="shared" si="61"/>
        <v>#REF!</v>
      </c>
      <c r="DZ90" s="47" t="e">
        <f t="shared" si="62"/>
        <v>#REF!</v>
      </c>
      <c r="EA90" s="66"/>
    </row>
    <row r="91" spans="1:131" x14ac:dyDescent="0.2">
      <c r="A91" s="38" t="s">
        <v>380</v>
      </c>
      <c r="B91" s="39" t="s">
        <v>223</v>
      </c>
      <c r="C91" s="39" t="s">
        <v>224</v>
      </c>
      <c r="D91" s="39"/>
      <c r="E91" s="40">
        <v>22023</v>
      </c>
      <c r="F91" s="41"/>
      <c r="G91" s="41"/>
      <c r="H91" s="41"/>
      <c r="I91" s="41"/>
      <c r="J91" s="41"/>
      <c r="K91" s="51"/>
      <c r="L91" s="41"/>
      <c r="M91" s="41"/>
      <c r="N91" s="41"/>
      <c r="O91" s="41"/>
      <c r="P91" s="41"/>
      <c r="Q91" s="41"/>
      <c r="R91" s="41"/>
      <c r="S91" s="41"/>
      <c r="T91" s="42">
        <f t="shared" si="64"/>
        <v>22023</v>
      </c>
      <c r="U91" s="43"/>
      <c r="V91" s="139">
        <v>22023</v>
      </c>
      <c r="W91" s="143" t="s">
        <v>368</v>
      </c>
      <c r="X91" s="143">
        <v>11</v>
      </c>
      <c r="Y91" s="171" t="s">
        <v>423</v>
      </c>
      <c r="Z91" s="171" t="s">
        <v>430</v>
      </c>
      <c r="AA91" s="247" t="s">
        <v>514</v>
      </c>
      <c r="AB91" s="187" t="s">
        <v>459</v>
      </c>
      <c r="AC91" s="10"/>
      <c r="AD91" s="13">
        <v>660.68999999999994</v>
      </c>
      <c r="AE91" s="10"/>
      <c r="AF91" s="10"/>
      <c r="AG91" s="45"/>
      <c r="AH91" s="45"/>
      <c r="AI91" s="45"/>
      <c r="AJ91" s="41"/>
      <c r="AK91" s="45"/>
      <c r="AL91" s="45"/>
      <c r="AN91" s="128">
        <v>0</v>
      </c>
      <c r="AO91" s="45"/>
      <c r="AP91" s="46">
        <f t="shared" si="34"/>
        <v>22683.69</v>
      </c>
      <c r="AQ91" s="47"/>
      <c r="AW91" s="48">
        <f t="shared" si="35"/>
        <v>22683.69</v>
      </c>
      <c r="AX91" s="66"/>
      <c r="AY91" s="47">
        <f t="shared" si="65"/>
        <v>22683.69</v>
      </c>
      <c r="AZ91" s="47"/>
      <c r="BB91" s="47" t="e">
        <f>VLOOKUP($AA91,#REF!,3,0)*(+AY91+AZ91)</f>
        <v>#REF!</v>
      </c>
      <c r="BC91" s="47" t="e">
        <f>VLOOKUP($AB91,#REF!,3,0)*(+AY91+AZ91)</f>
        <v>#REF!</v>
      </c>
      <c r="BE91" s="47"/>
      <c r="BH91" s="47" t="e">
        <f t="shared" si="36"/>
        <v>#REF!</v>
      </c>
      <c r="BM91" s="47" t="e">
        <f t="shared" si="37"/>
        <v>#REF!</v>
      </c>
      <c r="BN91" s="66"/>
      <c r="BO91" s="47" t="e">
        <f t="shared" si="66"/>
        <v>#REF!</v>
      </c>
      <c r="BP91" s="47"/>
      <c r="BR91" s="47" t="e">
        <f>VLOOKUP($AA91,#REF!,4,0)*(+BO91+BP91)</f>
        <v>#REF!</v>
      </c>
      <c r="BS91" s="47" t="e">
        <f>VLOOKUP($AB91,#REF!,4,0)*(+BO91+BP91)</f>
        <v>#REF!</v>
      </c>
      <c r="BV91" s="47"/>
      <c r="BX91" s="47"/>
      <c r="BY91" s="47" t="e">
        <f t="shared" si="63"/>
        <v>#REF!</v>
      </c>
      <c r="CD91" s="47" t="e">
        <f t="shared" si="38"/>
        <v>#REF!</v>
      </c>
      <c r="CE91" s="66"/>
      <c r="CF91" s="47" t="e">
        <f t="shared" si="67"/>
        <v>#REF!</v>
      </c>
      <c r="CG91" s="47"/>
      <c r="CI91" s="47" t="e">
        <f>VLOOKUP($AA91,#REF!,5,0)*(+CF91+CG91)</f>
        <v>#REF!</v>
      </c>
      <c r="CJ91" s="47" t="e">
        <f>VLOOKUP($AB91,#REF!,5,0)*(+CF91+CG91)</f>
        <v>#REF!</v>
      </c>
      <c r="CM91" s="47"/>
      <c r="CO91" s="47" t="e">
        <f t="shared" si="39"/>
        <v>#REF!</v>
      </c>
      <c r="CT91" s="47" t="e">
        <f t="shared" si="40"/>
        <v>#REF!</v>
      </c>
      <c r="CU91" s="66"/>
      <c r="CV91" s="47" t="e">
        <f t="shared" si="68"/>
        <v>#REF!</v>
      </c>
      <c r="CW91" s="47"/>
      <c r="CY91" s="47" t="e">
        <f>VLOOKUP($AA91,#REF!,6,0)*(+CV91+CW91)</f>
        <v>#REF!</v>
      </c>
      <c r="CZ91" s="47" t="e">
        <f>VLOOKUP($AB91,#REF!,6,0)*(+CV91+CW91)</f>
        <v>#REF!</v>
      </c>
      <c r="DC91" s="47"/>
      <c r="DE91" s="47" t="e">
        <f t="shared" si="41"/>
        <v>#REF!</v>
      </c>
      <c r="DJ91" s="47" t="e">
        <f t="shared" si="42"/>
        <v>#REF!</v>
      </c>
      <c r="DK91" s="66"/>
      <c r="DL91" s="47" t="e">
        <f t="shared" si="59"/>
        <v>#REF!</v>
      </c>
      <c r="DM91" s="47"/>
      <c r="DO91" s="47" t="e">
        <f>VLOOKUP($AA91,#REF!,7,0)*(+DL91+DM91)</f>
        <v>#REF!</v>
      </c>
      <c r="DP91" s="47" t="e">
        <f>VLOOKUP($AB91,#REF!,7,0)*(+DL91+DM91)</f>
        <v>#REF!</v>
      </c>
      <c r="DS91" s="47"/>
      <c r="DU91" s="47" t="e">
        <f t="shared" si="61"/>
        <v>#REF!</v>
      </c>
      <c r="DZ91" s="47" t="e">
        <f t="shared" si="62"/>
        <v>#REF!</v>
      </c>
      <c r="EA91" s="66"/>
    </row>
    <row r="92" spans="1:131" x14ac:dyDescent="0.2">
      <c r="A92" s="38" t="s">
        <v>380</v>
      </c>
      <c r="B92" s="39" t="s">
        <v>225</v>
      </c>
      <c r="C92" s="39" t="s">
        <v>226</v>
      </c>
      <c r="D92" s="39"/>
      <c r="E92" s="40">
        <v>41109</v>
      </c>
      <c r="F92" s="41"/>
      <c r="G92" s="41"/>
      <c r="H92" s="41"/>
      <c r="I92" s="41"/>
      <c r="J92" s="41"/>
      <c r="K92" s="51"/>
      <c r="L92" s="41"/>
      <c r="M92" s="41"/>
      <c r="N92" s="41"/>
      <c r="O92" s="41"/>
      <c r="P92" s="41"/>
      <c r="Q92" s="41"/>
      <c r="R92" s="41"/>
      <c r="S92" s="41"/>
      <c r="T92" s="42">
        <f t="shared" si="64"/>
        <v>41109</v>
      </c>
      <c r="U92" s="43"/>
      <c r="V92" s="139">
        <v>41109</v>
      </c>
      <c r="W92" s="143" t="s">
        <v>368</v>
      </c>
      <c r="X92" s="143">
        <v>11</v>
      </c>
      <c r="Y92" s="171" t="s">
        <v>423</v>
      </c>
      <c r="Z92" s="171" t="s">
        <v>430</v>
      </c>
      <c r="AA92" s="247" t="s">
        <v>514</v>
      </c>
      <c r="AB92" s="187" t="s">
        <v>459</v>
      </c>
      <c r="AC92" s="10"/>
      <c r="AD92" s="13">
        <v>1233.27</v>
      </c>
      <c r="AE92" s="10"/>
      <c r="AF92" s="10"/>
      <c r="AG92" s="45"/>
      <c r="AH92" s="45"/>
      <c r="AI92" s="45"/>
      <c r="AJ92" s="41"/>
      <c r="AK92" s="45"/>
      <c r="AL92" s="45"/>
      <c r="AN92" s="128">
        <v>0</v>
      </c>
      <c r="AO92" s="45"/>
      <c r="AP92" s="46">
        <f t="shared" si="34"/>
        <v>42342.27</v>
      </c>
      <c r="AQ92" s="47"/>
      <c r="AW92" s="48">
        <f t="shared" si="35"/>
        <v>42342.27</v>
      </c>
      <c r="AX92" s="66"/>
      <c r="AY92" s="47">
        <f t="shared" si="65"/>
        <v>42342.27</v>
      </c>
      <c r="AZ92" s="47"/>
      <c r="BB92" s="47" t="e">
        <f>VLOOKUP($AA92,#REF!,3,0)*(+AY92+AZ92)</f>
        <v>#REF!</v>
      </c>
      <c r="BC92" s="47" t="e">
        <f>VLOOKUP($AB92,#REF!,3,0)*(+AY92+AZ92)</f>
        <v>#REF!</v>
      </c>
      <c r="BE92" s="47"/>
      <c r="BH92" s="47" t="e">
        <f t="shared" si="36"/>
        <v>#REF!</v>
      </c>
      <c r="BM92" s="47" t="e">
        <f t="shared" si="37"/>
        <v>#REF!</v>
      </c>
      <c r="BN92" s="66"/>
      <c r="BO92" s="47" t="e">
        <f t="shared" si="66"/>
        <v>#REF!</v>
      </c>
      <c r="BP92" s="47"/>
      <c r="BR92" s="47" t="e">
        <f>VLOOKUP($AA92,#REF!,4,0)*(+BO92+BP92)</f>
        <v>#REF!</v>
      </c>
      <c r="BS92" s="47" t="e">
        <f>VLOOKUP($AB92,#REF!,4,0)*(+BO92+BP92)</f>
        <v>#REF!</v>
      </c>
      <c r="BV92" s="47"/>
      <c r="BX92" s="47"/>
      <c r="BY92" s="47" t="e">
        <f t="shared" si="63"/>
        <v>#REF!</v>
      </c>
      <c r="CD92" s="47" t="e">
        <f t="shared" si="38"/>
        <v>#REF!</v>
      </c>
      <c r="CE92" s="66"/>
      <c r="CF92" s="47" t="e">
        <f t="shared" si="67"/>
        <v>#REF!</v>
      </c>
      <c r="CG92" s="47"/>
      <c r="CI92" s="47" t="e">
        <f>VLOOKUP($AA92,#REF!,5,0)*(+CF92+CG92)</f>
        <v>#REF!</v>
      </c>
      <c r="CJ92" s="47" t="e">
        <f>VLOOKUP($AB92,#REF!,5,0)*(+CF92+CG92)</f>
        <v>#REF!</v>
      </c>
      <c r="CM92" s="47"/>
      <c r="CO92" s="47" t="e">
        <f t="shared" si="39"/>
        <v>#REF!</v>
      </c>
      <c r="CT92" s="47" t="e">
        <f t="shared" si="40"/>
        <v>#REF!</v>
      </c>
      <c r="CU92" s="66"/>
      <c r="CV92" s="47" t="e">
        <f t="shared" si="68"/>
        <v>#REF!</v>
      </c>
      <c r="CW92" s="47"/>
      <c r="CY92" s="47" t="e">
        <f>VLOOKUP($AA92,#REF!,6,0)*(+CV92+CW92)</f>
        <v>#REF!</v>
      </c>
      <c r="CZ92" s="47" t="e">
        <f>VLOOKUP($AB92,#REF!,6,0)*(+CV92+CW92)</f>
        <v>#REF!</v>
      </c>
      <c r="DC92" s="47"/>
      <c r="DE92" s="47" t="e">
        <f t="shared" si="41"/>
        <v>#REF!</v>
      </c>
      <c r="DJ92" s="47" t="e">
        <f t="shared" si="42"/>
        <v>#REF!</v>
      </c>
      <c r="DK92" s="66"/>
      <c r="DL92" s="47" t="e">
        <f t="shared" si="59"/>
        <v>#REF!</v>
      </c>
      <c r="DM92" s="47"/>
      <c r="DO92" s="47" t="e">
        <f>VLOOKUP($AA92,#REF!,7,0)*(+DL92+DM92)</f>
        <v>#REF!</v>
      </c>
      <c r="DP92" s="47" t="e">
        <f>VLOOKUP($AB92,#REF!,7,0)*(+DL92+DM92)</f>
        <v>#REF!</v>
      </c>
      <c r="DS92" s="47"/>
      <c r="DU92" s="47" t="e">
        <f t="shared" si="61"/>
        <v>#REF!</v>
      </c>
      <c r="DZ92" s="47" t="e">
        <f t="shared" si="62"/>
        <v>#REF!</v>
      </c>
      <c r="EA92" s="66"/>
    </row>
    <row r="93" spans="1:131" x14ac:dyDescent="0.2">
      <c r="A93" s="38" t="s">
        <v>380</v>
      </c>
      <c r="B93" s="39" t="s">
        <v>227</v>
      </c>
      <c r="C93" s="39" t="s">
        <v>228</v>
      </c>
      <c r="D93" s="39"/>
      <c r="E93" s="40">
        <v>194215</v>
      </c>
      <c r="F93" s="41"/>
      <c r="G93" s="41"/>
      <c r="H93" s="41"/>
      <c r="I93" s="41"/>
      <c r="J93" s="41"/>
      <c r="K93" s="51"/>
      <c r="L93" s="41"/>
      <c r="M93" s="41"/>
      <c r="N93" s="41"/>
      <c r="O93" s="41"/>
      <c r="P93" s="41"/>
      <c r="Q93" s="41"/>
      <c r="R93" s="41"/>
      <c r="S93" s="41"/>
      <c r="T93" s="42">
        <f t="shared" si="64"/>
        <v>194215</v>
      </c>
      <c r="U93" s="43"/>
      <c r="V93" s="139">
        <v>194215</v>
      </c>
      <c r="W93" s="143" t="s">
        <v>368</v>
      </c>
      <c r="X93" s="143">
        <v>11</v>
      </c>
      <c r="Y93" s="171" t="s">
        <v>423</v>
      </c>
      <c r="Z93" s="171" t="s">
        <v>430</v>
      </c>
      <c r="AA93" s="247" t="s">
        <v>514</v>
      </c>
      <c r="AB93" s="187" t="s">
        <v>459</v>
      </c>
      <c r="AC93" s="10"/>
      <c r="AD93" s="13">
        <v>5826.45</v>
      </c>
      <c r="AE93" s="10"/>
      <c r="AF93" s="10"/>
      <c r="AG93" s="45"/>
      <c r="AH93" s="45"/>
      <c r="AI93" s="45"/>
      <c r="AJ93" s="41"/>
      <c r="AK93" s="45"/>
      <c r="AL93" s="45"/>
      <c r="AN93" s="128">
        <v>0</v>
      </c>
      <c r="AO93" s="45"/>
      <c r="AP93" s="46">
        <f t="shared" si="34"/>
        <v>200041.45</v>
      </c>
      <c r="AQ93" s="47"/>
      <c r="AW93" s="48">
        <f t="shared" si="35"/>
        <v>200041.45</v>
      </c>
      <c r="AX93" s="66"/>
      <c r="AY93" s="47">
        <f t="shared" si="65"/>
        <v>200041.45</v>
      </c>
      <c r="AZ93" s="47"/>
      <c r="BB93" s="47" t="e">
        <f>VLOOKUP($AA93,#REF!,3,0)*(+AY93+AZ93)</f>
        <v>#REF!</v>
      </c>
      <c r="BC93" s="47" t="e">
        <f>VLOOKUP($AB93,#REF!,3,0)*(+AY93+AZ93)</f>
        <v>#REF!</v>
      </c>
      <c r="BE93" s="47"/>
      <c r="BH93" s="47" t="e">
        <f t="shared" si="36"/>
        <v>#REF!</v>
      </c>
      <c r="BM93" s="47" t="e">
        <f t="shared" si="37"/>
        <v>#REF!</v>
      </c>
      <c r="BN93" s="66"/>
      <c r="BO93" s="47" t="e">
        <f t="shared" si="66"/>
        <v>#REF!</v>
      </c>
      <c r="BP93" s="47"/>
      <c r="BR93" s="47" t="e">
        <f>VLOOKUP($AA93,#REF!,4,0)*(+BO93+BP93)</f>
        <v>#REF!</v>
      </c>
      <c r="BS93" s="47" t="e">
        <f>VLOOKUP($AB93,#REF!,4,0)*(+BO93+BP93)</f>
        <v>#REF!</v>
      </c>
      <c r="BV93" s="47"/>
      <c r="BX93" s="47"/>
      <c r="BY93" s="47" t="e">
        <f t="shared" si="63"/>
        <v>#REF!</v>
      </c>
      <c r="CD93" s="47" t="e">
        <f t="shared" si="38"/>
        <v>#REF!</v>
      </c>
      <c r="CE93" s="66"/>
      <c r="CF93" s="47" t="e">
        <f t="shared" si="67"/>
        <v>#REF!</v>
      </c>
      <c r="CG93" s="47"/>
      <c r="CI93" s="47" t="e">
        <f>VLOOKUP($AA93,#REF!,5,0)*(+CF93+CG93)</f>
        <v>#REF!</v>
      </c>
      <c r="CJ93" s="47" t="e">
        <f>VLOOKUP($AB93,#REF!,5,0)*(+CF93+CG93)</f>
        <v>#REF!</v>
      </c>
      <c r="CM93" s="47"/>
      <c r="CO93" s="47" t="e">
        <f t="shared" si="39"/>
        <v>#REF!</v>
      </c>
      <c r="CT93" s="47" t="e">
        <f t="shared" si="40"/>
        <v>#REF!</v>
      </c>
      <c r="CU93" s="66"/>
      <c r="CV93" s="47" t="e">
        <f t="shared" si="68"/>
        <v>#REF!</v>
      </c>
      <c r="CW93" s="47"/>
      <c r="CY93" s="47" t="e">
        <f>VLOOKUP($AA93,#REF!,6,0)*(+CV93+CW93)</f>
        <v>#REF!</v>
      </c>
      <c r="CZ93" s="47" t="e">
        <f>VLOOKUP($AB93,#REF!,6,0)*(+CV93+CW93)</f>
        <v>#REF!</v>
      </c>
      <c r="DC93" s="47"/>
      <c r="DE93" s="47" t="e">
        <f t="shared" si="41"/>
        <v>#REF!</v>
      </c>
      <c r="DJ93" s="47" t="e">
        <f t="shared" si="42"/>
        <v>#REF!</v>
      </c>
      <c r="DK93" s="66"/>
      <c r="DL93" s="47" t="e">
        <f t="shared" si="59"/>
        <v>#REF!</v>
      </c>
      <c r="DM93" s="47"/>
      <c r="DO93" s="47" t="e">
        <f>VLOOKUP($AA93,#REF!,7,0)*(+DL93+DM93)</f>
        <v>#REF!</v>
      </c>
      <c r="DP93" s="47" t="e">
        <f>VLOOKUP($AB93,#REF!,7,0)*(+DL93+DM93)</f>
        <v>#REF!</v>
      </c>
      <c r="DS93" s="47"/>
      <c r="DU93" s="47" t="e">
        <f t="shared" si="61"/>
        <v>#REF!</v>
      </c>
      <c r="DZ93" s="47" t="e">
        <f t="shared" si="62"/>
        <v>#REF!</v>
      </c>
      <c r="EA93" s="66"/>
    </row>
    <row r="94" spans="1:131" x14ac:dyDescent="0.2">
      <c r="A94" s="38" t="s">
        <v>380</v>
      </c>
      <c r="B94" s="39" t="s">
        <v>229</v>
      </c>
      <c r="C94" s="39" t="s">
        <v>230</v>
      </c>
      <c r="D94" s="39"/>
      <c r="E94" s="40">
        <v>43203</v>
      </c>
      <c r="F94" s="41"/>
      <c r="G94" s="41"/>
      <c r="H94" s="41"/>
      <c r="I94" s="41"/>
      <c r="J94" s="41"/>
      <c r="K94" s="51"/>
      <c r="L94" s="41"/>
      <c r="M94" s="41"/>
      <c r="N94" s="41"/>
      <c r="O94" s="41"/>
      <c r="P94" s="41"/>
      <c r="Q94" s="41"/>
      <c r="R94" s="41"/>
      <c r="S94" s="41"/>
      <c r="T94" s="42">
        <f t="shared" si="64"/>
        <v>43203</v>
      </c>
      <c r="U94" s="43"/>
      <c r="V94" s="139">
        <v>43203</v>
      </c>
      <c r="W94" s="143" t="s">
        <v>368</v>
      </c>
      <c r="X94" s="143">
        <v>11</v>
      </c>
      <c r="Y94" s="171" t="s">
        <v>423</v>
      </c>
      <c r="Z94" s="171" t="s">
        <v>430</v>
      </c>
      <c r="AA94" s="247" t="s">
        <v>514</v>
      </c>
      <c r="AB94" s="187" t="s">
        <v>459</v>
      </c>
      <c r="AC94" s="10"/>
      <c r="AD94" s="13">
        <v>993.66899999999998</v>
      </c>
      <c r="AE94" s="10"/>
      <c r="AF94" s="10"/>
      <c r="AG94" s="45"/>
      <c r="AH94" s="45"/>
      <c r="AI94" s="45"/>
      <c r="AJ94" s="41"/>
      <c r="AK94" s="45"/>
      <c r="AL94" s="45"/>
      <c r="AN94" s="128">
        <v>0</v>
      </c>
      <c r="AO94" s="45"/>
      <c r="AP94" s="46">
        <f t="shared" si="34"/>
        <v>44196.669000000002</v>
      </c>
      <c r="AQ94" s="47"/>
      <c r="AW94" s="48">
        <f t="shared" si="35"/>
        <v>44196.669000000002</v>
      </c>
      <c r="AX94" s="66"/>
      <c r="AY94" s="47">
        <f t="shared" si="65"/>
        <v>44196.669000000002</v>
      </c>
      <c r="AZ94" s="47"/>
      <c r="BB94" s="47" t="e">
        <f>VLOOKUP($AA94,#REF!,3,0)*(+AY94+AZ94)</f>
        <v>#REF!</v>
      </c>
      <c r="BC94" s="47" t="e">
        <f>VLOOKUP($AB94,#REF!,3,0)*(+AY94+AZ94)</f>
        <v>#REF!</v>
      </c>
      <c r="BE94" s="47"/>
      <c r="BF94" s="47"/>
      <c r="BH94" s="47" t="e">
        <f t="shared" si="36"/>
        <v>#REF!</v>
      </c>
      <c r="BM94" s="47" t="e">
        <f t="shared" si="37"/>
        <v>#REF!</v>
      </c>
      <c r="BN94" s="66"/>
      <c r="BO94" s="47" t="e">
        <f t="shared" si="66"/>
        <v>#REF!</v>
      </c>
      <c r="BP94" s="47"/>
      <c r="BR94" s="47" t="e">
        <f>VLOOKUP($AA94,#REF!,4,0)*(+BO94+BP94)</f>
        <v>#REF!</v>
      </c>
      <c r="BS94" s="47" t="e">
        <f>VLOOKUP($AB94,#REF!,4,0)*(+BO94+BP94)</f>
        <v>#REF!</v>
      </c>
      <c r="BV94" s="47"/>
      <c r="BX94" s="47"/>
      <c r="BY94" s="47" t="e">
        <f t="shared" si="63"/>
        <v>#REF!</v>
      </c>
      <c r="CD94" s="47" t="e">
        <f t="shared" si="38"/>
        <v>#REF!</v>
      </c>
      <c r="CE94" s="66"/>
      <c r="CF94" s="47" t="e">
        <f t="shared" si="67"/>
        <v>#REF!</v>
      </c>
      <c r="CG94" s="47"/>
      <c r="CI94" s="47" t="e">
        <f>VLOOKUP($AA94,#REF!,5,0)*(+CF94+CG94)</f>
        <v>#REF!</v>
      </c>
      <c r="CJ94" s="47" t="e">
        <f>VLOOKUP($AB94,#REF!,5,0)*(+CF94+CG94)</f>
        <v>#REF!</v>
      </c>
      <c r="CM94" s="47"/>
      <c r="CO94" s="47" t="e">
        <f t="shared" si="39"/>
        <v>#REF!</v>
      </c>
      <c r="CT94" s="47" t="e">
        <f t="shared" si="40"/>
        <v>#REF!</v>
      </c>
      <c r="CU94" s="66"/>
      <c r="CV94" s="47" t="e">
        <f t="shared" si="68"/>
        <v>#REF!</v>
      </c>
      <c r="CW94" s="47"/>
      <c r="CY94" s="47" t="e">
        <f>VLOOKUP($AA94,#REF!,6,0)*(+CV94+CW94)</f>
        <v>#REF!</v>
      </c>
      <c r="CZ94" s="47" t="e">
        <f>VLOOKUP($AB94,#REF!,6,0)*(+CV94+CW94)</f>
        <v>#REF!</v>
      </c>
      <c r="DC94" s="47"/>
      <c r="DE94" s="47" t="e">
        <f t="shared" si="41"/>
        <v>#REF!</v>
      </c>
      <c r="DJ94" s="47" t="e">
        <f t="shared" si="42"/>
        <v>#REF!</v>
      </c>
      <c r="DK94" s="66"/>
      <c r="DL94" s="47" t="e">
        <f t="shared" si="59"/>
        <v>#REF!</v>
      </c>
      <c r="DM94" s="47"/>
      <c r="DO94" s="47" t="e">
        <f>VLOOKUP($AA94,#REF!,7,0)*(+DL94+DM94)</f>
        <v>#REF!</v>
      </c>
      <c r="DP94" s="47" t="e">
        <f>VLOOKUP($AB94,#REF!,7,0)*(+DL94+DM94)</f>
        <v>#REF!</v>
      </c>
      <c r="DS94" s="47"/>
      <c r="DU94" s="47" t="e">
        <f t="shared" si="61"/>
        <v>#REF!</v>
      </c>
      <c r="DZ94" s="47" t="e">
        <f t="shared" si="62"/>
        <v>#REF!</v>
      </c>
      <c r="EA94" s="66"/>
    </row>
    <row r="95" spans="1:131" x14ac:dyDescent="0.2">
      <c r="A95" s="38" t="s">
        <v>380</v>
      </c>
      <c r="B95" s="39" t="s">
        <v>231</v>
      </c>
      <c r="C95" s="39" t="s">
        <v>232</v>
      </c>
      <c r="D95" s="39"/>
      <c r="E95" s="40">
        <v>59431</v>
      </c>
      <c r="F95" s="41"/>
      <c r="G95" s="41"/>
      <c r="H95" s="41"/>
      <c r="I95" s="41">
        <v>-54734</v>
      </c>
      <c r="J95" s="41"/>
      <c r="K95" s="51"/>
      <c r="L95" s="41"/>
      <c r="M95" s="41"/>
      <c r="N95" s="41"/>
      <c r="O95" s="41"/>
      <c r="P95" s="41"/>
      <c r="Q95" s="41"/>
      <c r="R95" s="41"/>
      <c r="S95" s="41"/>
      <c r="T95" s="42">
        <f t="shared" si="64"/>
        <v>4697</v>
      </c>
      <c r="U95" s="43"/>
      <c r="V95" s="139">
        <v>4697</v>
      </c>
      <c r="W95" s="143" t="s">
        <v>368</v>
      </c>
      <c r="X95" s="143">
        <v>11</v>
      </c>
      <c r="Y95" s="171" t="s">
        <v>423</v>
      </c>
      <c r="Z95" s="171" t="s">
        <v>430</v>
      </c>
      <c r="AA95" s="247" t="s">
        <v>514</v>
      </c>
      <c r="AB95" s="187" t="s">
        <v>459</v>
      </c>
      <c r="AC95" s="10"/>
      <c r="AD95" s="13">
        <v>140.91</v>
      </c>
      <c r="AE95" s="10"/>
      <c r="AF95" s="10"/>
      <c r="AG95" s="45"/>
      <c r="AH95" s="45"/>
      <c r="AI95" s="45"/>
      <c r="AJ95" s="41"/>
      <c r="AK95" s="45"/>
      <c r="AL95" s="45"/>
      <c r="AN95" s="128">
        <v>0</v>
      </c>
      <c r="AO95" s="45"/>
      <c r="AP95" s="46">
        <f t="shared" si="34"/>
        <v>4837.91</v>
      </c>
      <c r="AQ95" s="47"/>
      <c r="AW95" s="48">
        <f t="shared" si="35"/>
        <v>4837.91</v>
      </c>
      <c r="AX95" s="66"/>
      <c r="AY95" s="47">
        <f t="shared" si="65"/>
        <v>4837.91</v>
      </c>
      <c r="AZ95" s="47"/>
      <c r="BB95" s="47" t="e">
        <f>VLOOKUP($AA95,#REF!,3,0)*(+AY95+AZ95)</f>
        <v>#REF!</v>
      </c>
      <c r="BC95" s="47" t="e">
        <f>VLOOKUP($AB95,#REF!,3,0)*(+AY95+AZ95)</f>
        <v>#REF!</v>
      </c>
      <c r="BE95" s="47"/>
      <c r="BH95" s="47" t="e">
        <f t="shared" si="36"/>
        <v>#REF!</v>
      </c>
      <c r="BM95" s="47" t="e">
        <f t="shared" si="37"/>
        <v>#REF!</v>
      </c>
      <c r="BN95" s="66"/>
      <c r="BO95" s="47" t="e">
        <f t="shared" si="66"/>
        <v>#REF!</v>
      </c>
      <c r="BP95" s="47"/>
      <c r="BR95" s="47" t="e">
        <f>VLOOKUP($AA95,#REF!,4,0)*(+BO95+BP95)</f>
        <v>#REF!</v>
      </c>
      <c r="BS95" s="47" t="e">
        <f>VLOOKUP($AB95,#REF!,4,0)*(+BO95+BP95)</f>
        <v>#REF!</v>
      </c>
      <c r="BV95" s="47"/>
      <c r="BX95" s="47"/>
      <c r="BY95" s="47" t="e">
        <f t="shared" si="63"/>
        <v>#REF!</v>
      </c>
      <c r="CD95" s="47" t="e">
        <f t="shared" si="38"/>
        <v>#REF!</v>
      </c>
      <c r="CE95" s="66"/>
      <c r="CF95" s="47" t="e">
        <f t="shared" si="67"/>
        <v>#REF!</v>
      </c>
      <c r="CG95" s="47"/>
      <c r="CI95" s="47" t="e">
        <f>VLOOKUP($AA95,#REF!,5,0)*(+CF95+CG95)</f>
        <v>#REF!</v>
      </c>
      <c r="CJ95" s="47" t="e">
        <f>VLOOKUP($AB95,#REF!,5,0)*(+CF95+CG95)</f>
        <v>#REF!</v>
      </c>
      <c r="CM95" s="47"/>
      <c r="CO95" s="47" t="e">
        <f t="shared" si="39"/>
        <v>#REF!</v>
      </c>
      <c r="CT95" s="47" t="e">
        <f t="shared" si="40"/>
        <v>#REF!</v>
      </c>
      <c r="CU95" s="66"/>
      <c r="CV95" s="47" t="e">
        <f t="shared" si="68"/>
        <v>#REF!</v>
      </c>
      <c r="CW95" s="47"/>
      <c r="CY95" s="47" t="e">
        <f>VLOOKUP($AA95,#REF!,6,0)*(+CV95+CW95)</f>
        <v>#REF!</v>
      </c>
      <c r="CZ95" s="47" t="e">
        <f>VLOOKUP($AB95,#REF!,6,0)*(+CV95+CW95)</f>
        <v>#REF!</v>
      </c>
      <c r="DC95" s="47"/>
      <c r="DE95" s="47" t="e">
        <f t="shared" si="41"/>
        <v>#REF!</v>
      </c>
      <c r="DJ95" s="47" t="e">
        <f t="shared" si="42"/>
        <v>#REF!</v>
      </c>
      <c r="DK95" s="66"/>
      <c r="DL95" s="47" t="e">
        <f t="shared" si="59"/>
        <v>#REF!</v>
      </c>
      <c r="DM95" s="47"/>
      <c r="DO95" s="47" t="e">
        <f>VLOOKUP($AA95,#REF!,7,0)*(+DL95+DM95)</f>
        <v>#REF!</v>
      </c>
      <c r="DP95" s="47" t="e">
        <f>VLOOKUP($AB95,#REF!,7,0)*(+DL95+DM95)</f>
        <v>#REF!</v>
      </c>
      <c r="DS95" s="47"/>
      <c r="DU95" s="47" t="e">
        <f t="shared" si="61"/>
        <v>#REF!</v>
      </c>
      <c r="DZ95" s="47" t="e">
        <f t="shared" si="62"/>
        <v>#REF!</v>
      </c>
      <c r="EA95" s="66"/>
    </row>
    <row r="96" spans="1:131" x14ac:dyDescent="0.2">
      <c r="A96" s="38" t="s">
        <v>380</v>
      </c>
      <c r="B96" s="39" t="s">
        <v>233</v>
      </c>
      <c r="C96" s="39" t="s">
        <v>234</v>
      </c>
      <c r="D96" s="39"/>
      <c r="E96" s="40">
        <v>36016</v>
      </c>
      <c r="F96" s="41"/>
      <c r="G96" s="41"/>
      <c r="H96" s="41"/>
      <c r="I96" s="41"/>
      <c r="J96" s="41"/>
      <c r="K96" s="51"/>
      <c r="L96" s="41"/>
      <c r="M96" s="41"/>
      <c r="N96" s="41"/>
      <c r="O96" s="41"/>
      <c r="P96" s="41"/>
      <c r="Q96" s="41"/>
      <c r="R96" s="41"/>
      <c r="S96" s="41"/>
      <c r="T96" s="42">
        <f t="shared" si="64"/>
        <v>36016</v>
      </c>
      <c r="U96" s="43"/>
      <c r="V96" s="139">
        <v>36016</v>
      </c>
      <c r="W96" s="143" t="s">
        <v>368</v>
      </c>
      <c r="X96" s="143">
        <v>11</v>
      </c>
      <c r="Y96" s="171" t="s">
        <v>423</v>
      </c>
      <c r="Z96" s="171" t="s">
        <v>430</v>
      </c>
      <c r="AA96" s="247" t="s">
        <v>514</v>
      </c>
      <c r="AB96" s="187" t="s">
        <v>459</v>
      </c>
      <c r="AC96" s="10"/>
      <c r="AD96" s="13">
        <v>1080.48</v>
      </c>
      <c r="AE96" s="10"/>
      <c r="AF96" s="10"/>
      <c r="AG96" s="45"/>
      <c r="AH96" s="45"/>
      <c r="AI96" s="45"/>
      <c r="AJ96" s="41"/>
      <c r="AK96" s="45"/>
      <c r="AL96" s="45"/>
      <c r="AN96" s="128">
        <v>0</v>
      </c>
      <c r="AO96" s="45"/>
      <c r="AP96" s="46">
        <f t="shared" si="34"/>
        <v>37096.480000000003</v>
      </c>
      <c r="AQ96" s="47"/>
      <c r="AW96" s="48">
        <f t="shared" si="35"/>
        <v>37096.480000000003</v>
      </c>
      <c r="AX96" s="66"/>
      <c r="AY96" s="47">
        <f t="shared" si="65"/>
        <v>37096.480000000003</v>
      </c>
      <c r="AZ96" s="47"/>
      <c r="BB96" s="47" t="e">
        <f>VLOOKUP($AA96,#REF!,3,0)*(+AY96+AZ96)</f>
        <v>#REF!</v>
      </c>
      <c r="BC96" s="47" t="e">
        <f>VLOOKUP($AB96,#REF!,3,0)*(+AY96+AZ96)</f>
        <v>#REF!</v>
      </c>
      <c r="BE96" s="47"/>
      <c r="BH96" s="47" t="e">
        <f t="shared" si="36"/>
        <v>#REF!</v>
      </c>
      <c r="BM96" s="47" t="e">
        <f t="shared" si="37"/>
        <v>#REF!</v>
      </c>
      <c r="BN96" s="66"/>
      <c r="BO96" s="47" t="e">
        <f t="shared" si="66"/>
        <v>#REF!</v>
      </c>
      <c r="BP96" s="47"/>
      <c r="BR96" s="47" t="e">
        <f>VLOOKUP($AA96,#REF!,4,0)*(+BO96+BP96)</f>
        <v>#REF!</v>
      </c>
      <c r="BS96" s="47" t="e">
        <f>VLOOKUP($AB96,#REF!,4,0)*(+BO96+BP96)</f>
        <v>#REF!</v>
      </c>
      <c r="BV96" s="47"/>
      <c r="BX96" s="47"/>
      <c r="BY96" s="47" t="e">
        <f t="shared" si="63"/>
        <v>#REF!</v>
      </c>
      <c r="CD96" s="47" t="e">
        <f t="shared" si="38"/>
        <v>#REF!</v>
      </c>
      <c r="CE96" s="66"/>
      <c r="CF96" s="47" t="e">
        <f t="shared" si="67"/>
        <v>#REF!</v>
      </c>
      <c r="CG96" s="47"/>
      <c r="CI96" s="47" t="e">
        <f>VLOOKUP($AA96,#REF!,5,0)*(+CF96+CG96)</f>
        <v>#REF!</v>
      </c>
      <c r="CJ96" s="47" t="e">
        <f>VLOOKUP($AB96,#REF!,5,0)*(+CF96+CG96)</f>
        <v>#REF!</v>
      </c>
      <c r="CM96" s="47"/>
      <c r="CO96" s="47" t="e">
        <f t="shared" si="39"/>
        <v>#REF!</v>
      </c>
      <c r="CT96" s="47" t="e">
        <f t="shared" si="40"/>
        <v>#REF!</v>
      </c>
      <c r="CU96" s="66"/>
      <c r="CV96" s="47" t="e">
        <f t="shared" si="68"/>
        <v>#REF!</v>
      </c>
      <c r="CW96" s="47"/>
      <c r="CY96" s="47" t="e">
        <f>VLOOKUP($AA96,#REF!,6,0)*(+CV96+CW96)</f>
        <v>#REF!</v>
      </c>
      <c r="CZ96" s="47" t="e">
        <f>VLOOKUP($AB96,#REF!,6,0)*(+CV96+CW96)</f>
        <v>#REF!</v>
      </c>
      <c r="DC96" s="47"/>
      <c r="DE96" s="47" t="e">
        <f t="shared" si="41"/>
        <v>#REF!</v>
      </c>
      <c r="DJ96" s="47" t="e">
        <f t="shared" si="42"/>
        <v>#REF!</v>
      </c>
      <c r="DK96" s="66"/>
      <c r="DL96" s="47" t="e">
        <f t="shared" si="59"/>
        <v>#REF!</v>
      </c>
      <c r="DM96" s="47"/>
      <c r="DO96" s="47" t="e">
        <f>VLOOKUP($AA96,#REF!,7,0)*(+DL96+DM96)</f>
        <v>#REF!</v>
      </c>
      <c r="DP96" s="47" t="e">
        <f>VLOOKUP($AB96,#REF!,7,0)*(+DL96+DM96)</f>
        <v>#REF!</v>
      </c>
      <c r="DS96" s="47"/>
      <c r="DU96" s="47" t="e">
        <f t="shared" si="61"/>
        <v>#REF!</v>
      </c>
      <c r="DZ96" s="47" t="e">
        <f t="shared" si="62"/>
        <v>#REF!</v>
      </c>
      <c r="EA96" s="66"/>
    </row>
    <row r="97" spans="1:131" x14ac:dyDescent="0.2">
      <c r="A97" s="38" t="s">
        <v>372</v>
      </c>
      <c r="B97" s="39" t="s">
        <v>243</v>
      </c>
      <c r="C97" s="39" t="s">
        <v>244</v>
      </c>
      <c r="D97" s="39"/>
      <c r="E97" s="40">
        <v>600000</v>
      </c>
      <c r="F97" s="41"/>
      <c r="G97" s="41"/>
      <c r="H97" s="41"/>
      <c r="I97" s="41">
        <v>-42831</v>
      </c>
      <c r="J97" s="41"/>
      <c r="K97" s="51"/>
      <c r="L97" s="41"/>
      <c r="M97" s="41"/>
      <c r="N97" s="41"/>
      <c r="O97" s="41"/>
      <c r="P97" s="41"/>
      <c r="Q97" s="41"/>
      <c r="R97" s="41"/>
      <c r="S97" s="41"/>
      <c r="T97" s="42">
        <f t="shared" si="64"/>
        <v>557169</v>
      </c>
      <c r="U97" s="43"/>
      <c r="V97" s="139">
        <v>557169</v>
      </c>
      <c r="W97" s="143" t="s">
        <v>368</v>
      </c>
      <c r="X97" s="143">
        <v>11</v>
      </c>
      <c r="Y97" s="172" t="s">
        <v>424</v>
      </c>
      <c r="Z97" s="171" t="s">
        <v>430</v>
      </c>
      <c r="AA97" s="247" t="s">
        <v>514</v>
      </c>
      <c r="AB97" s="187" t="s">
        <v>459</v>
      </c>
      <c r="AC97" s="10"/>
      <c r="AD97" s="13">
        <v>16715.07</v>
      </c>
      <c r="AE97" s="10"/>
      <c r="AF97" s="10"/>
      <c r="AG97" s="45"/>
      <c r="AH97" s="45"/>
      <c r="AI97" s="45"/>
      <c r="AJ97" s="41"/>
      <c r="AK97" s="45"/>
      <c r="AL97" s="45"/>
      <c r="AN97" s="128">
        <v>0</v>
      </c>
      <c r="AO97" s="45"/>
      <c r="AP97" s="46">
        <f t="shared" si="34"/>
        <v>573884.06999999995</v>
      </c>
      <c r="AQ97" s="47"/>
      <c r="AW97" s="48">
        <f t="shared" si="35"/>
        <v>573884.06999999995</v>
      </c>
      <c r="AX97" s="66"/>
      <c r="AY97" s="47">
        <f t="shared" si="65"/>
        <v>573884.06999999995</v>
      </c>
      <c r="AZ97" s="47"/>
      <c r="BB97" s="47" t="e">
        <f>VLOOKUP($AA97,#REF!,3,0)*(+AY97+AZ97)</f>
        <v>#REF!</v>
      </c>
      <c r="BC97" s="47" t="e">
        <f>VLOOKUP($AB97,#REF!,3,0)*(+AY97+AZ97)</f>
        <v>#REF!</v>
      </c>
      <c r="BE97" s="47"/>
      <c r="BH97" s="47" t="e">
        <f t="shared" si="36"/>
        <v>#REF!</v>
      </c>
      <c r="BM97" s="47" t="e">
        <f t="shared" si="37"/>
        <v>#REF!</v>
      </c>
      <c r="BN97" s="66"/>
      <c r="BO97" s="47" t="e">
        <f t="shared" si="66"/>
        <v>#REF!</v>
      </c>
      <c r="BP97" s="47"/>
      <c r="BR97" s="47" t="e">
        <f>VLOOKUP($AA97,#REF!,4,0)*(+BO97+BP97)</f>
        <v>#REF!</v>
      </c>
      <c r="BS97" s="47" t="e">
        <f>VLOOKUP($AB97,#REF!,4,0)*(+BO97+BP97)</f>
        <v>#REF!</v>
      </c>
      <c r="BV97" s="47"/>
      <c r="BX97" s="47"/>
      <c r="BY97" s="47" t="e">
        <f t="shared" si="63"/>
        <v>#REF!</v>
      </c>
      <c r="CD97" s="47" t="e">
        <f t="shared" si="38"/>
        <v>#REF!</v>
      </c>
      <c r="CE97" s="66"/>
      <c r="CF97" s="47" t="e">
        <f t="shared" si="67"/>
        <v>#REF!</v>
      </c>
      <c r="CG97" s="47"/>
      <c r="CI97" s="47" t="e">
        <f>VLOOKUP($AA97,#REF!,5,0)*(+CF97+CG97)</f>
        <v>#REF!</v>
      </c>
      <c r="CJ97" s="47" t="e">
        <f>VLOOKUP($AB97,#REF!,5,0)*(+CF97+CG97)</f>
        <v>#REF!</v>
      </c>
      <c r="CM97" s="47"/>
      <c r="CO97" s="47" t="e">
        <f t="shared" si="39"/>
        <v>#REF!</v>
      </c>
      <c r="CT97" s="47" t="e">
        <f t="shared" si="40"/>
        <v>#REF!</v>
      </c>
      <c r="CU97" s="66"/>
      <c r="CV97" s="47" t="e">
        <f t="shared" si="68"/>
        <v>#REF!</v>
      </c>
      <c r="CW97" s="47"/>
      <c r="CY97" s="47" t="e">
        <f>VLOOKUP($AA97,#REF!,6,0)*(+CV97+CW97)</f>
        <v>#REF!</v>
      </c>
      <c r="CZ97" s="47" t="e">
        <f>VLOOKUP($AB97,#REF!,6,0)*(+CV97+CW97)</f>
        <v>#REF!</v>
      </c>
      <c r="DC97" s="47"/>
      <c r="DE97" s="47" t="e">
        <f t="shared" si="41"/>
        <v>#REF!</v>
      </c>
      <c r="DJ97" s="47" t="e">
        <f t="shared" si="42"/>
        <v>#REF!</v>
      </c>
      <c r="DK97" s="66"/>
      <c r="DL97" s="47" t="e">
        <f t="shared" si="59"/>
        <v>#REF!</v>
      </c>
      <c r="DM97" s="47"/>
      <c r="DO97" s="47" t="e">
        <f>VLOOKUP($AA97,#REF!,7,0)*(+DL97+DM97)</f>
        <v>#REF!</v>
      </c>
      <c r="DP97" s="47" t="e">
        <f>VLOOKUP($AB97,#REF!,7,0)*(+DL97+DM97)</f>
        <v>#REF!</v>
      </c>
      <c r="DS97" s="47"/>
      <c r="DU97" s="47" t="e">
        <f t="shared" si="61"/>
        <v>#REF!</v>
      </c>
      <c r="DZ97" s="47" t="e">
        <f t="shared" si="62"/>
        <v>#REF!</v>
      </c>
      <c r="EA97" s="66"/>
    </row>
    <row r="98" spans="1:131" x14ac:dyDescent="0.2">
      <c r="A98" s="38" t="s">
        <v>380</v>
      </c>
      <c r="B98" s="39" t="s">
        <v>247</v>
      </c>
      <c r="C98" s="39" t="s">
        <v>248</v>
      </c>
      <c r="D98" s="39"/>
      <c r="E98" s="40">
        <v>1475000</v>
      </c>
      <c r="F98" s="41"/>
      <c r="G98" s="41"/>
      <c r="H98" s="41"/>
      <c r="I98" s="41"/>
      <c r="J98" s="41"/>
      <c r="K98" s="51"/>
      <c r="L98" s="41"/>
      <c r="M98" s="41"/>
      <c r="N98" s="41"/>
      <c r="O98" s="41"/>
      <c r="P98" s="41"/>
      <c r="Q98" s="41"/>
      <c r="R98" s="41"/>
      <c r="S98" s="41"/>
      <c r="T98" s="42">
        <f t="shared" si="64"/>
        <v>1475000</v>
      </c>
      <c r="U98" s="43"/>
      <c r="V98" s="139">
        <v>1475000</v>
      </c>
      <c r="W98" s="143" t="s">
        <v>368</v>
      </c>
      <c r="X98" s="143">
        <v>11</v>
      </c>
      <c r="Y98" s="173" t="s">
        <v>425</v>
      </c>
      <c r="Z98" s="171" t="s">
        <v>430</v>
      </c>
      <c r="AA98" s="247" t="s">
        <v>514</v>
      </c>
      <c r="AB98" s="187" t="s">
        <v>459</v>
      </c>
      <c r="AC98" s="10"/>
      <c r="AD98" s="13">
        <v>44250</v>
      </c>
      <c r="AE98" s="10"/>
      <c r="AF98" s="10"/>
      <c r="AG98" s="45"/>
      <c r="AH98" s="45"/>
      <c r="AI98" s="45"/>
      <c r="AJ98" s="41"/>
      <c r="AK98" s="45"/>
      <c r="AL98" s="45"/>
      <c r="AN98" s="128">
        <v>0</v>
      </c>
      <c r="AO98" s="45"/>
      <c r="AP98" s="46">
        <f t="shared" si="34"/>
        <v>1519250</v>
      </c>
      <c r="AQ98" s="47"/>
      <c r="AW98" s="48">
        <f t="shared" si="35"/>
        <v>1519250</v>
      </c>
      <c r="AX98" s="66"/>
      <c r="AY98" s="47">
        <f t="shared" si="65"/>
        <v>1519250</v>
      </c>
      <c r="AZ98" s="47"/>
      <c r="BB98" s="47" t="e">
        <f>VLOOKUP($AA98,#REF!,3,0)*(+AY98+AZ98)</f>
        <v>#REF!</v>
      </c>
      <c r="BC98" s="47" t="e">
        <f>VLOOKUP($AB98,#REF!,3,0)*(+AY98+AZ98)</f>
        <v>#REF!</v>
      </c>
      <c r="BE98" s="47"/>
      <c r="BH98" s="47" t="e">
        <f t="shared" si="36"/>
        <v>#REF!</v>
      </c>
      <c r="BM98" s="47" t="e">
        <f t="shared" si="37"/>
        <v>#REF!</v>
      </c>
      <c r="BN98" s="66"/>
      <c r="BO98" s="47" t="e">
        <f t="shared" si="66"/>
        <v>#REF!</v>
      </c>
      <c r="BP98" s="47"/>
      <c r="BR98" s="47" t="e">
        <f>VLOOKUP($AA98,#REF!,4,0)*(+BO98+BP98)</f>
        <v>#REF!</v>
      </c>
      <c r="BS98" s="47" t="e">
        <f>VLOOKUP($AB98,#REF!,4,0)*(+BO98+BP98)</f>
        <v>#REF!</v>
      </c>
      <c r="BV98" s="47"/>
      <c r="BX98" s="47"/>
      <c r="BY98" s="47" t="e">
        <f t="shared" si="63"/>
        <v>#REF!</v>
      </c>
      <c r="CD98" s="47" t="e">
        <f t="shared" si="38"/>
        <v>#REF!</v>
      </c>
      <c r="CE98" s="66"/>
      <c r="CF98" s="47" t="e">
        <f t="shared" si="67"/>
        <v>#REF!</v>
      </c>
      <c r="CG98" s="47"/>
      <c r="CI98" s="47" t="e">
        <f>VLOOKUP($AA98,#REF!,5,0)*(+CF98+CG98)</f>
        <v>#REF!</v>
      </c>
      <c r="CJ98" s="47" t="e">
        <f>VLOOKUP($AB98,#REF!,5,0)*(+CF98+CG98)</f>
        <v>#REF!</v>
      </c>
      <c r="CM98" s="47"/>
      <c r="CO98" s="47" t="e">
        <f t="shared" si="39"/>
        <v>#REF!</v>
      </c>
      <c r="CT98" s="47" t="e">
        <f t="shared" si="40"/>
        <v>#REF!</v>
      </c>
      <c r="CU98" s="66"/>
      <c r="CV98" s="47" t="e">
        <f t="shared" si="68"/>
        <v>#REF!</v>
      </c>
      <c r="CW98" s="47"/>
      <c r="CY98" s="47" t="e">
        <f>VLOOKUP($AA98,#REF!,6,0)*(+CV98+CW98)</f>
        <v>#REF!</v>
      </c>
      <c r="CZ98" s="47" t="e">
        <f>VLOOKUP($AB98,#REF!,6,0)*(+CV98+CW98)</f>
        <v>#REF!</v>
      </c>
      <c r="DC98" s="47"/>
      <c r="DE98" s="47" t="e">
        <f t="shared" si="41"/>
        <v>#REF!</v>
      </c>
      <c r="DJ98" s="47" t="e">
        <f t="shared" si="42"/>
        <v>#REF!</v>
      </c>
      <c r="DK98" s="66"/>
      <c r="DL98" s="47" t="e">
        <f t="shared" si="59"/>
        <v>#REF!</v>
      </c>
      <c r="DM98" s="47"/>
      <c r="DO98" s="47" t="e">
        <f>VLOOKUP($AA98,#REF!,7,0)*(+DL98+DM98)</f>
        <v>#REF!</v>
      </c>
      <c r="DP98" s="47" t="e">
        <f>VLOOKUP($AB98,#REF!,7,0)*(+DL98+DM98)</f>
        <v>#REF!</v>
      </c>
      <c r="DS98" s="47"/>
      <c r="DU98" s="47" t="e">
        <f t="shared" si="61"/>
        <v>#REF!</v>
      </c>
      <c r="DZ98" s="47" t="e">
        <f t="shared" si="62"/>
        <v>#REF!</v>
      </c>
      <c r="EA98" s="66"/>
    </row>
    <row r="99" spans="1:131" x14ac:dyDescent="0.2">
      <c r="A99" s="38" t="s">
        <v>380</v>
      </c>
      <c r="B99" s="39" t="s">
        <v>185</v>
      </c>
      <c r="C99" s="39" t="s">
        <v>186</v>
      </c>
      <c r="D99" s="39"/>
      <c r="E99" s="40">
        <v>1821359</v>
      </c>
      <c r="F99" s="41"/>
      <c r="G99" s="41"/>
      <c r="H99" s="41"/>
      <c r="I99" s="41"/>
      <c r="J99" s="41"/>
      <c r="K99" s="51"/>
      <c r="L99" s="41"/>
      <c r="M99" s="41"/>
      <c r="N99" s="41"/>
      <c r="O99" s="41"/>
      <c r="P99" s="41"/>
      <c r="Q99" s="41"/>
      <c r="R99" s="41"/>
      <c r="S99" s="41"/>
      <c r="T99" s="42">
        <f t="shared" si="64"/>
        <v>1821359</v>
      </c>
      <c r="U99" s="43"/>
      <c r="V99" s="139">
        <v>1821359</v>
      </c>
      <c r="W99" s="143" t="s">
        <v>368</v>
      </c>
      <c r="X99" s="143">
        <v>11</v>
      </c>
      <c r="Y99" s="173" t="s">
        <v>425</v>
      </c>
      <c r="Z99" s="171" t="s">
        <v>431</v>
      </c>
      <c r="AA99" s="247" t="s">
        <v>514</v>
      </c>
      <c r="AB99" s="187" t="s">
        <v>459</v>
      </c>
      <c r="AC99" s="10"/>
      <c r="AD99" s="13">
        <v>41891</v>
      </c>
      <c r="AE99" s="10"/>
      <c r="AF99" s="10"/>
      <c r="AG99" s="45"/>
      <c r="AH99" s="45"/>
      <c r="AI99" s="45"/>
      <c r="AJ99" s="41"/>
      <c r="AK99" s="45"/>
      <c r="AL99" s="45"/>
      <c r="AN99" s="128">
        <v>0</v>
      </c>
      <c r="AO99" s="45"/>
      <c r="AP99" s="46">
        <f t="shared" si="34"/>
        <v>1863250</v>
      </c>
      <c r="AQ99" s="47"/>
      <c r="AW99" s="48">
        <f t="shared" si="35"/>
        <v>1863250</v>
      </c>
      <c r="AX99" s="66"/>
      <c r="AY99" s="47">
        <f t="shared" si="65"/>
        <v>1863250</v>
      </c>
      <c r="AZ99" s="47"/>
      <c r="BB99" s="47" t="e">
        <f>VLOOKUP($AA99,#REF!,3,0)*(+AY99+AZ99)</f>
        <v>#REF!</v>
      </c>
      <c r="BC99" s="47" t="e">
        <f>VLOOKUP($AB99,#REF!,3,0)*(+AY99+AZ99)</f>
        <v>#REF!</v>
      </c>
      <c r="BE99" s="47"/>
      <c r="BH99" s="47" t="e">
        <f t="shared" si="36"/>
        <v>#REF!</v>
      </c>
      <c r="BM99" s="47" t="e">
        <f t="shared" si="37"/>
        <v>#REF!</v>
      </c>
      <c r="BN99" s="66"/>
      <c r="BO99" s="47" t="e">
        <f t="shared" si="66"/>
        <v>#REF!</v>
      </c>
      <c r="BP99" s="47"/>
      <c r="BR99" s="47" t="e">
        <f>VLOOKUP($AA99,#REF!,4,0)*(+BO99+BP99)</f>
        <v>#REF!</v>
      </c>
      <c r="BS99" s="47" t="e">
        <f>VLOOKUP($AB99,#REF!,4,0)*(+BO99+BP99)</f>
        <v>#REF!</v>
      </c>
      <c r="BV99" s="47"/>
      <c r="BX99" s="244"/>
      <c r="BY99" s="47" t="e">
        <f t="shared" si="63"/>
        <v>#REF!</v>
      </c>
      <c r="CD99" s="47" t="e">
        <f t="shared" si="38"/>
        <v>#REF!</v>
      </c>
      <c r="CE99" s="66"/>
      <c r="CF99" s="47" t="e">
        <f t="shared" si="67"/>
        <v>#REF!</v>
      </c>
      <c r="CG99" s="47"/>
      <c r="CI99" s="47" t="e">
        <f>VLOOKUP($AA99,#REF!,5,0)*(+CF99+CG99)</f>
        <v>#REF!</v>
      </c>
      <c r="CJ99" s="47" t="e">
        <f>VLOOKUP($AB99,#REF!,5,0)*(+CF99+CG99)</f>
        <v>#REF!</v>
      </c>
      <c r="CM99" s="47"/>
      <c r="CO99" s="47" t="e">
        <f t="shared" si="39"/>
        <v>#REF!</v>
      </c>
      <c r="CT99" s="47" t="e">
        <f t="shared" si="40"/>
        <v>#REF!</v>
      </c>
      <c r="CU99" s="66"/>
      <c r="CV99" s="47" t="e">
        <f t="shared" si="68"/>
        <v>#REF!</v>
      </c>
      <c r="CW99" s="47"/>
      <c r="CY99" s="47" t="e">
        <f>VLOOKUP($AA99,#REF!,6,0)*(+CV99+CW99)</f>
        <v>#REF!</v>
      </c>
      <c r="CZ99" s="47" t="e">
        <f>VLOOKUP($AB99,#REF!,6,0)*(+CV99+CW99)</f>
        <v>#REF!</v>
      </c>
      <c r="DC99" s="47"/>
      <c r="DE99" s="47" t="e">
        <f t="shared" si="41"/>
        <v>#REF!</v>
      </c>
      <c r="DJ99" s="47" t="e">
        <f t="shared" si="42"/>
        <v>#REF!</v>
      </c>
      <c r="DK99" s="66"/>
      <c r="DL99" s="47" t="e">
        <f t="shared" si="59"/>
        <v>#REF!</v>
      </c>
      <c r="DM99" s="47"/>
      <c r="DO99" s="47" t="e">
        <f>VLOOKUP($AA99,#REF!,7,0)*(+DL99+DM99)</f>
        <v>#REF!</v>
      </c>
      <c r="DP99" s="47" t="e">
        <f>VLOOKUP($AB99,#REF!,7,0)*(+DL99+DM99)</f>
        <v>#REF!</v>
      </c>
      <c r="DS99" s="47"/>
      <c r="DU99" s="47" t="e">
        <f t="shared" si="61"/>
        <v>#REF!</v>
      </c>
      <c r="DZ99" s="47" t="e">
        <f t="shared" si="62"/>
        <v>#REF!</v>
      </c>
      <c r="EA99" s="66"/>
    </row>
    <row r="100" spans="1:131" x14ac:dyDescent="0.2">
      <c r="A100" s="38" t="s">
        <v>372</v>
      </c>
      <c r="B100" s="39" t="s">
        <v>241</v>
      </c>
      <c r="C100" s="39" t="s">
        <v>242</v>
      </c>
      <c r="D100" s="39"/>
      <c r="E100" s="40">
        <v>10644392</v>
      </c>
      <c r="F100" s="41"/>
      <c r="G100" s="41"/>
      <c r="H100" s="41"/>
      <c r="I100" s="41"/>
      <c r="J100" s="41"/>
      <c r="K100" s="51"/>
      <c r="L100" s="41"/>
      <c r="M100" s="41"/>
      <c r="N100" s="41"/>
      <c r="O100" s="41"/>
      <c r="P100" s="41"/>
      <c r="Q100" s="41"/>
      <c r="R100" s="41"/>
      <c r="S100" s="41"/>
      <c r="T100" s="42">
        <f t="shared" si="64"/>
        <v>10644392</v>
      </c>
      <c r="U100" s="43"/>
      <c r="V100" s="139">
        <v>10644392</v>
      </c>
      <c r="W100" s="143" t="s">
        <v>368</v>
      </c>
      <c r="X100" s="143">
        <v>14</v>
      </c>
      <c r="Y100" s="173" t="s">
        <v>425</v>
      </c>
      <c r="Z100" s="171" t="s">
        <v>431</v>
      </c>
      <c r="AA100" s="247" t="s">
        <v>514</v>
      </c>
      <c r="AB100" s="187" t="s">
        <v>459</v>
      </c>
      <c r="AC100" s="10"/>
      <c r="AD100" s="13">
        <v>319331.76</v>
      </c>
      <c r="AE100" s="10"/>
      <c r="AF100" s="10"/>
      <c r="AG100" s="45"/>
      <c r="AH100" s="45"/>
      <c r="AI100" s="45"/>
      <c r="AJ100" s="41"/>
      <c r="AK100" s="45"/>
      <c r="AL100" s="45"/>
      <c r="AN100" s="128">
        <v>0</v>
      </c>
      <c r="AO100" s="45"/>
      <c r="AP100" s="46">
        <f t="shared" si="34"/>
        <v>10963723.76</v>
      </c>
      <c r="AQ100" s="47"/>
      <c r="AW100" s="48">
        <f t="shared" si="35"/>
        <v>10963723.76</v>
      </c>
      <c r="AX100" s="66"/>
      <c r="AY100" s="47">
        <f t="shared" si="65"/>
        <v>10963723.76</v>
      </c>
      <c r="AZ100" s="249">
        <v>89000</v>
      </c>
      <c r="BB100" s="47" t="e">
        <f>VLOOKUP($AA100,#REF!,3,0)*(+AY100+AZ100)</f>
        <v>#REF!</v>
      </c>
      <c r="BC100" s="47" t="e">
        <f>VLOOKUP($AB100,#REF!,3,0)*(+AY100+AZ100)</f>
        <v>#REF!</v>
      </c>
      <c r="BE100" s="47"/>
      <c r="BH100" s="47" t="e">
        <f t="shared" si="36"/>
        <v>#REF!</v>
      </c>
      <c r="BM100" s="47" t="e">
        <f t="shared" si="37"/>
        <v>#REF!</v>
      </c>
      <c r="BN100" s="66"/>
      <c r="BO100" s="47" t="e">
        <f t="shared" si="66"/>
        <v>#REF!</v>
      </c>
      <c r="BP100" s="47"/>
      <c r="BR100" s="47" t="e">
        <f>VLOOKUP($AA100,#REF!,4,0)*(+BO100+BP100)</f>
        <v>#REF!</v>
      </c>
      <c r="BS100" s="47" t="e">
        <f>VLOOKUP($AB100,#REF!,4,0)*(+BO100+BP100)</f>
        <v>#REF!</v>
      </c>
      <c r="BV100" s="47"/>
      <c r="BX100" s="47"/>
      <c r="BY100" s="47" t="e">
        <f t="shared" si="63"/>
        <v>#REF!</v>
      </c>
      <c r="CD100" s="47" t="e">
        <f t="shared" si="38"/>
        <v>#REF!</v>
      </c>
      <c r="CE100" s="66"/>
      <c r="CF100" s="47" t="e">
        <f t="shared" si="67"/>
        <v>#REF!</v>
      </c>
      <c r="CG100" s="47"/>
      <c r="CI100" s="47" t="e">
        <f>VLOOKUP($AA100,#REF!,5,0)*(+CF100+CG100)</f>
        <v>#REF!</v>
      </c>
      <c r="CJ100" s="47" t="e">
        <f>VLOOKUP($AB100,#REF!,5,0)*(+CF100+CG100)</f>
        <v>#REF!</v>
      </c>
      <c r="CM100" s="47"/>
      <c r="CO100" s="47" t="e">
        <f>SUM(CF100:CN100)</f>
        <v>#REF!</v>
      </c>
      <c r="CT100" s="47" t="e">
        <f t="shared" si="40"/>
        <v>#REF!</v>
      </c>
      <c r="CU100" s="66"/>
      <c r="CV100" s="47" t="e">
        <f t="shared" si="68"/>
        <v>#REF!</v>
      </c>
      <c r="CW100" s="47"/>
      <c r="CY100" s="47" t="e">
        <f>VLOOKUP($AA100,#REF!,6,0)*(+CV100+CW100)</f>
        <v>#REF!</v>
      </c>
      <c r="CZ100" s="47" t="e">
        <f>VLOOKUP($AB100,#REF!,6,0)*(+CV100+CW100)</f>
        <v>#REF!</v>
      </c>
      <c r="DC100" s="47"/>
      <c r="DE100" s="47" t="e">
        <f t="shared" si="41"/>
        <v>#REF!</v>
      </c>
      <c r="DJ100" s="47" t="e">
        <f t="shared" si="42"/>
        <v>#REF!</v>
      </c>
      <c r="DK100" s="66"/>
      <c r="DL100" s="47" t="e">
        <f t="shared" si="59"/>
        <v>#REF!</v>
      </c>
      <c r="DM100" s="47"/>
      <c r="DO100" s="47" t="e">
        <f>VLOOKUP($AA100,#REF!,7,0)*(+DL100+DM100)</f>
        <v>#REF!</v>
      </c>
      <c r="DP100" s="47" t="e">
        <f>VLOOKUP($AB100,#REF!,7,0)*(+DL100+DM100)</f>
        <v>#REF!</v>
      </c>
      <c r="DS100" s="47"/>
      <c r="DU100" s="47" t="e">
        <f t="shared" si="61"/>
        <v>#REF!</v>
      </c>
      <c r="DZ100" s="47" t="e">
        <f t="shared" si="62"/>
        <v>#REF!</v>
      </c>
      <c r="EA100" s="66"/>
    </row>
    <row r="101" spans="1:131" x14ac:dyDescent="0.2">
      <c r="A101" s="38" t="s">
        <v>372</v>
      </c>
      <c r="B101" s="39" t="s">
        <v>245</v>
      </c>
      <c r="C101" s="39" t="s">
        <v>246</v>
      </c>
      <c r="D101" s="39"/>
      <c r="E101" s="40">
        <v>873145</v>
      </c>
      <c r="F101" s="41">
        <v>-223100</v>
      </c>
      <c r="G101" s="41"/>
      <c r="H101" s="41"/>
      <c r="I101" s="41"/>
      <c r="J101" s="41"/>
      <c r="K101" s="51"/>
      <c r="L101" s="41"/>
      <c r="M101" s="41"/>
      <c r="N101" s="41"/>
      <c r="O101" s="41"/>
      <c r="P101" s="41"/>
      <c r="Q101" s="41"/>
      <c r="R101" s="41"/>
      <c r="S101" s="41"/>
      <c r="T101" s="42">
        <f t="shared" si="64"/>
        <v>650045</v>
      </c>
      <c r="U101" s="43"/>
      <c r="V101" s="139">
        <v>650045</v>
      </c>
      <c r="W101" s="143" t="s">
        <v>368</v>
      </c>
      <c r="X101" s="143">
        <v>11</v>
      </c>
      <c r="Y101" s="171" t="s">
        <v>423</v>
      </c>
      <c r="Z101" s="171" t="s">
        <v>431</v>
      </c>
      <c r="AA101" s="247" t="s">
        <v>514</v>
      </c>
      <c r="AB101" s="187" t="s">
        <v>459</v>
      </c>
      <c r="AC101" s="10"/>
      <c r="AD101" s="13">
        <v>19501.349999999999</v>
      </c>
      <c r="AE101" s="10"/>
      <c r="AF101" s="10"/>
      <c r="AG101" s="45"/>
      <c r="AH101" s="45"/>
      <c r="AI101" s="45"/>
      <c r="AJ101" s="41"/>
      <c r="AK101" s="45"/>
      <c r="AL101" s="45"/>
      <c r="AN101" s="128">
        <v>0</v>
      </c>
      <c r="AO101" s="45"/>
      <c r="AP101" s="46">
        <f t="shared" si="34"/>
        <v>669546.35</v>
      </c>
      <c r="AQ101" s="47"/>
      <c r="AW101" s="48">
        <f t="shared" si="35"/>
        <v>669546.35</v>
      </c>
      <c r="AX101" s="66"/>
      <c r="AY101" s="47">
        <f t="shared" si="65"/>
        <v>669546.35</v>
      </c>
      <c r="AZ101" s="47"/>
      <c r="BB101" s="47" t="e">
        <f>VLOOKUP($AA101,#REF!,3,0)*(+AY101+AZ101)</f>
        <v>#REF!</v>
      </c>
      <c r="BC101" s="47" t="e">
        <f>VLOOKUP($AB101,#REF!,3,0)*(+AY101+AZ101)</f>
        <v>#REF!</v>
      </c>
      <c r="BE101" s="47"/>
      <c r="BH101" s="47" t="e">
        <f t="shared" si="36"/>
        <v>#REF!</v>
      </c>
      <c r="BM101" s="47" t="e">
        <f t="shared" si="37"/>
        <v>#REF!</v>
      </c>
      <c r="BN101" s="66"/>
      <c r="BO101" s="47" t="e">
        <f t="shared" si="66"/>
        <v>#REF!</v>
      </c>
      <c r="BP101" s="47"/>
      <c r="BR101" s="47" t="e">
        <f>VLOOKUP($AA101,#REF!,4,0)*(+BO101+BP101)</f>
        <v>#REF!</v>
      </c>
      <c r="BS101" s="47" t="e">
        <f>VLOOKUP($AB101,#REF!,4,0)*(+BO101+BP101)</f>
        <v>#REF!</v>
      </c>
      <c r="BV101" s="47"/>
      <c r="BX101" s="47"/>
      <c r="BY101" s="47" t="e">
        <f t="shared" si="63"/>
        <v>#REF!</v>
      </c>
      <c r="CD101" s="47" t="e">
        <f t="shared" si="38"/>
        <v>#REF!</v>
      </c>
      <c r="CE101" s="66"/>
      <c r="CF101" s="47" t="e">
        <f t="shared" si="67"/>
        <v>#REF!</v>
      </c>
      <c r="CG101" s="47"/>
      <c r="CI101" s="47" t="e">
        <f>VLOOKUP($AA101,#REF!,5,0)*(+CF101+CG101)</f>
        <v>#REF!</v>
      </c>
      <c r="CJ101" s="47" t="e">
        <f>VLOOKUP($AB101,#REF!,5,0)*(+CF101+CG101)</f>
        <v>#REF!</v>
      </c>
      <c r="CM101" s="47"/>
      <c r="CO101" s="47" t="e">
        <f t="shared" si="39"/>
        <v>#REF!</v>
      </c>
      <c r="CT101" s="47" t="e">
        <f t="shared" si="40"/>
        <v>#REF!</v>
      </c>
      <c r="CU101" s="66"/>
      <c r="CV101" s="47" t="e">
        <f t="shared" si="68"/>
        <v>#REF!</v>
      </c>
      <c r="CW101" s="47"/>
      <c r="CY101" s="47" t="e">
        <f>VLOOKUP($AA101,#REF!,6,0)*(+CV101+CW101)</f>
        <v>#REF!</v>
      </c>
      <c r="CZ101" s="47" t="e">
        <f>VLOOKUP($AB101,#REF!,6,0)*(+CV101+CW101)</f>
        <v>#REF!</v>
      </c>
      <c r="DC101" s="47"/>
      <c r="DE101" s="47" t="e">
        <f t="shared" si="41"/>
        <v>#REF!</v>
      </c>
      <c r="DJ101" s="47" t="e">
        <f t="shared" si="42"/>
        <v>#REF!</v>
      </c>
      <c r="DK101" s="66"/>
      <c r="DL101" s="47" t="e">
        <f t="shared" si="59"/>
        <v>#REF!</v>
      </c>
      <c r="DM101" s="47"/>
      <c r="DO101" s="47" t="e">
        <f>VLOOKUP($AA101,#REF!,7,0)*(+DL101+DM101)</f>
        <v>#REF!</v>
      </c>
      <c r="DP101" s="47" t="e">
        <f>VLOOKUP($AB101,#REF!,7,0)*(+DL101+DM101)</f>
        <v>#REF!</v>
      </c>
      <c r="DS101" s="47"/>
      <c r="DU101" s="47" t="e">
        <f t="shared" si="61"/>
        <v>#REF!</v>
      </c>
      <c r="DZ101" s="47" t="e">
        <f t="shared" si="62"/>
        <v>#REF!</v>
      </c>
      <c r="EA101" s="66"/>
    </row>
    <row r="102" spans="1:131" x14ac:dyDescent="0.2">
      <c r="A102" s="38" t="s">
        <v>381</v>
      </c>
      <c r="B102" s="39"/>
      <c r="C102" s="39" t="s">
        <v>269</v>
      </c>
      <c r="D102" s="39"/>
      <c r="E102" s="40"/>
      <c r="F102" s="41"/>
      <c r="G102" s="41"/>
      <c r="H102" s="41"/>
      <c r="I102" s="41"/>
      <c r="J102" s="41"/>
      <c r="K102" s="51"/>
      <c r="L102" s="41"/>
      <c r="M102" s="41"/>
      <c r="N102" s="41"/>
      <c r="O102" s="41">
        <f>4653342+150000+158752+25000</f>
        <v>4987094</v>
      </c>
      <c r="P102" s="41"/>
      <c r="Q102" s="41"/>
      <c r="R102" s="41"/>
      <c r="S102" s="41"/>
      <c r="T102" s="42">
        <f t="shared" si="64"/>
        <v>4987094</v>
      </c>
      <c r="U102" s="43"/>
      <c r="V102" s="135">
        <v>4987094</v>
      </c>
      <c r="W102" s="143" t="s">
        <v>368</v>
      </c>
      <c r="X102" s="143">
        <v>16</v>
      </c>
      <c r="Y102" s="171" t="s">
        <v>426</v>
      </c>
      <c r="Z102" s="171" t="s">
        <v>433</v>
      </c>
      <c r="AA102" s="2" t="s">
        <v>521</v>
      </c>
      <c r="AB102" s="188" t="s">
        <v>513</v>
      </c>
      <c r="AC102" s="10"/>
      <c r="AD102" s="13">
        <v>149612.82</v>
      </c>
      <c r="AE102" s="10"/>
      <c r="AF102" s="10"/>
      <c r="AG102" s="45"/>
      <c r="AH102" s="45"/>
      <c r="AI102" s="45"/>
      <c r="AJ102" s="41"/>
      <c r="AK102" s="45"/>
      <c r="AL102" s="45"/>
      <c r="AN102" s="128">
        <v>0</v>
      </c>
      <c r="AO102" s="45"/>
      <c r="AP102" s="46">
        <f t="shared" si="34"/>
        <v>5136706.82</v>
      </c>
      <c r="AQ102" s="47"/>
      <c r="AW102" s="48">
        <f t="shared" si="35"/>
        <v>5136706.82</v>
      </c>
      <c r="AX102" s="66"/>
      <c r="AY102" s="47">
        <f t="shared" si="65"/>
        <v>5136706.82</v>
      </c>
      <c r="AZ102" s="47"/>
      <c r="BB102" s="47" t="e">
        <f>VLOOKUP($AA102,#REF!,3,0)*(+AY102+AZ102)</f>
        <v>#REF!</v>
      </c>
      <c r="BC102" s="47" t="e">
        <f>VLOOKUP($AB102,#REF!,3,0)*(+AY102+AZ102)</f>
        <v>#REF!</v>
      </c>
      <c r="BE102" s="47"/>
      <c r="BH102" s="47" t="e">
        <f t="shared" si="36"/>
        <v>#REF!</v>
      </c>
      <c r="BM102" s="47" t="e">
        <f t="shared" si="37"/>
        <v>#REF!</v>
      </c>
      <c r="BN102" s="66"/>
      <c r="BO102" s="47" t="e">
        <f t="shared" si="66"/>
        <v>#REF!</v>
      </c>
      <c r="BP102" s="47"/>
      <c r="BR102" s="47" t="e">
        <f>VLOOKUP($AA102,#REF!,4,0)*(+BO102+BP102)</f>
        <v>#REF!</v>
      </c>
      <c r="BS102" s="47" t="e">
        <f>VLOOKUP($AB102,#REF!,4,0)*(+BO102+BP102)</f>
        <v>#REF!</v>
      </c>
      <c r="BV102" s="47"/>
      <c r="BY102" s="47" t="e">
        <f t="shared" si="63"/>
        <v>#REF!</v>
      </c>
      <c r="CD102" s="47" t="e">
        <f t="shared" si="38"/>
        <v>#REF!</v>
      </c>
      <c r="CE102" s="66"/>
      <c r="CF102" s="47" t="e">
        <f t="shared" si="67"/>
        <v>#REF!</v>
      </c>
      <c r="CG102" s="47"/>
      <c r="CI102" s="47" t="e">
        <f>VLOOKUP($AA102,#REF!,5,0)*(+CF102+CG102)</f>
        <v>#REF!</v>
      </c>
      <c r="CJ102" s="47" t="e">
        <f>VLOOKUP($AB102,#REF!,5,0)*(+CF102+CG102)</f>
        <v>#REF!</v>
      </c>
      <c r="CM102" s="47"/>
      <c r="CO102" s="47" t="e">
        <f t="shared" si="39"/>
        <v>#REF!</v>
      </c>
      <c r="CT102" s="47" t="e">
        <f t="shared" si="40"/>
        <v>#REF!</v>
      </c>
      <c r="CU102" s="66"/>
      <c r="CV102" s="47" t="e">
        <f t="shared" si="68"/>
        <v>#REF!</v>
      </c>
      <c r="CW102" s="47"/>
      <c r="CY102" s="47" t="e">
        <f>VLOOKUP($AA102,#REF!,6,0)*(+CV102+CW102)</f>
        <v>#REF!</v>
      </c>
      <c r="CZ102" s="47" t="e">
        <f>VLOOKUP($AB102,#REF!,6,0)*(+CV102+CW102)</f>
        <v>#REF!</v>
      </c>
      <c r="DC102" s="47"/>
      <c r="DE102" s="47" t="e">
        <f t="shared" si="41"/>
        <v>#REF!</v>
      </c>
      <c r="DJ102" s="47" t="e">
        <f t="shared" si="42"/>
        <v>#REF!</v>
      </c>
      <c r="DK102" s="66"/>
      <c r="DL102" s="47" t="e">
        <f t="shared" si="59"/>
        <v>#REF!</v>
      </c>
      <c r="DM102" s="47"/>
      <c r="DO102" s="47" t="e">
        <f>VLOOKUP($AA102,#REF!,7,0)*(+DL102+DM102)</f>
        <v>#REF!</v>
      </c>
      <c r="DP102" s="47" t="e">
        <f>VLOOKUP($AB102,#REF!,7,0)*(+DL102+DM102)</f>
        <v>#REF!</v>
      </c>
      <c r="DS102" s="47"/>
      <c r="DU102" s="47" t="e">
        <f t="shared" si="61"/>
        <v>#REF!</v>
      </c>
      <c r="DZ102" s="47" t="e">
        <f t="shared" si="62"/>
        <v>#REF!</v>
      </c>
      <c r="EA102" s="66"/>
    </row>
    <row r="103" spans="1:131" x14ac:dyDescent="0.2">
      <c r="A103" s="38" t="s">
        <v>381</v>
      </c>
      <c r="B103" s="39"/>
      <c r="C103" s="39" t="s">
        <v>271</v>
      </c>
      <c r="D103" s="39"/>
      <c r="E103" s="40"/>
      <c r="F103" s="41"/>
      <c r="G103" s="41"/>
      <c r="H103" s="41"/>
      <c r="I103" s="41"/>
      <c r="J103" s="41"/>
      <c r="K103" s="51"/>
      <c r="L103" s="41"/>
      <c r="M103" s="41"/>
      <c r="N103" s="41"/>
      <c r="O103" s="41">
        <v>1471905</v>
      </c>
      <c r="P103" s="41"/>
      <c r="Q103" s="41"/>
      <c r="R103" s="41"/>
      <c r="S103" s="41"/>
      <c r="T103" s="42">
        <f t="shared" si="64"/>
        <v>1471905</v>
      </c>
      <c r="U103" s="43"/>
      <c r="V103" s="135">
        <v>1471905</v>
      </c>
      <c r="W103" s="143" t="s">
        <v>368</v>
      </c>
      <c r="X103" s="143">
        <v>16</v>
      </c>
      <c r="Y103" s="171" t="s">
        <v>426</v>
      </c>
      <c r="Z103" s="171" t="s">
        <v>433</v>
      </c>
      <c r="AA103" s="2" t="s">
        <v>521</v>
      </c>
      <c r="AB103" s="188" t="s">
        <v>513</v>
      </c>
      <c r="AC103" s="10"/>
      <c r="AD103" s="13">
        <v>44157.15</v>
      </c>
      <c r="AE103" s="10"/>
      <c r="AF103" s="10"/>
      <c r="AG103" s="45"/>
      <c r="AH103" s="45"/>
      <c r="AI103" s="45"/>
      <c r="AJ103" s="41"/>
      <c r="AK103" s="45"/>
      <c r="AL103" s="45"/>
      <c r="AN103" s="128">
        <v>0</v>
      </c>
      <c r="AO103" s="45"/>
      <c r="AP103" s="46">
        <f t="shared" si="34"/>
        <v>1516062.15</v>
      </c>
      <c r="AQ103" s="47"/>
      <c r="AT103" s="54"/>
      <c r="AU103" s="54"/>
      <c r="AW103" s="48">
        <f t="shared" si="35"/>
        <v>1516062.15</v>
      </c>
      <c r="AX103" s="66"/>
      <c r="AY103" s="47">
        <f t="shared" si="65"/>
        <v>1516062.15</v>
      </c>
      <c r="AZ103" s="47"/>
      <c r="BB103" s="47" t="e">
        <f>VLOOKUP($AA103,#REF!,3,0)*(+AY103+AZ103)</f>
        <v>#REF!</v>
      </c>
      <c r="BC103" s="47" t="e">
        <f>VLOOKUP($AB103,#REF!,3,0)*(+AY103+AZ103)</f>
        <v>#REF!</v>
      </c>
      <c r="BE103" s="47"/>
      <c r="BH103" s="47" t="e">
        <f t="shared" si="36"/>
        <v>#REF!</v>
      </c>
      <c r="BM103" s="47" t="e">
        <f t="shared" si="37"/>
        <v>#REF!</v>
      </c>
      <c r="BN103" s="66"/>
      <c r="BO103" s="47" t="e">
        <f t="shared" si="66"/>
        <v>#REF!</v>
      </c>
      <c r="BP103" s="47"/>
      <c r="BR103" s="47" t="e">
        <f>VLOOKUP($AA103,#REF!,4,0)*(+BO103+BP103)</f>
        <v>#REF!</v>
      </c>
      <c r="BS103" s="47" t="e">
        <f>VLOOKUP($AB103,#REF!,4,0)*(+BO103+BP103)</f>
        <v>#REF!</v>
      </c>
      <c r="BV103" s="47"/>
      <c r="BY103" s="47" t="e">
        <f t="shared" si="63"/>
        <v>#REF!</v>
      </c>
      <c r="CD103" s="47" t="e">
        <f t="shared" si="38"/>
        <v>#REF!</v>
      </c>
      <c r="CE103" s="66"/>
      <c r="CF103" s="47" t="e">
        <f t="shared" si="67"/>
        <v>#REF!</v>
      </c>
      <c r="CG103" s="47"/>
      <c r="CI103" s="47" t="e">
        <f>VLOOKUP($AA103,#REF!,5,0)*(+CF103+CG103)</f>
        <v>#REF!</v>
      </c>
      <c r="CJ103" s="47" t="e">
        <f>VLOOKUP($AB103,#REF!,5,0)*(+CF103+CG103)</f>
        <v>#REF!</v>
      </c>
      <c r="CM103" s="47"/>
      <c r="CO103" s="47" t="e">
        <f t="shared" si="39"/>
        <v>#REF!</v>
      </c>
      <c r="CT103" s="47" t="e">
        <f t="shared" si="40"/>
        <v>#REF!</v>
      </c>
      <c r="CU103" s="66"/>
      <c r="CV103" s="47" t="e">
        <f t="shared" si="68"/>
        <v>#REF!</v>
      </c>
      <c r="CW103" s="47"/>
      <c r="CY103" s="47" t="e">
        <f>VLOOKUP($AA103,#REF!,6,0)*(+CV103+CW103)</f>
        <v>#REF!</v>
      </c>
      <c r="CZ103" s="47" t="e">
        <f>VLOOKUP($AB103,#REF!,6,0)*(+CV103+CW103)</f>
        <v>#REF!</v>
      </c>
      <c r="DC103" s="47"/>
      <c r="DE103" s="47" t="e">
        <f t="shared" si="41"/>
        <v>#REF!</v>
      </c>
      <c r="DJ103" s="47" t="e">
        <f t="shared" si="42"/>
        <v>#REF!</v>
      </c>
      <c r="DK103" s="66"/>
      <c r="DL103" s="47" t="e">
        <f t="shared" si="59"/>
        <v>#REF!</v>
      </c>
      <c r="DM103" s="47"/>
      <c r="DO103" s="47" t="e">
        <f>VLOOKUP($AA103,#REF!,7,0)*(+DL103+DM103)</f>
        <v>#REF!</v>
      </c>
      <c r="DP103" s="47" t="e">
        <f>VLOOKUP($AB103,#REF!,7,0)*(+DL103+DM103)</f>
        <v>#REF!</v>
      </c>
      <c r="DS103" s="47"/>
      <c r="DU103" s="47" t="e">
        <f t="shared" si="61"/>
        <v>#REF!</v>
      </c>
      <c r="DZ103" s="47" t="e">
        <f t="shared" si="62"/>
        <v>#REF!</v>
      </c>
      <c r="EA103" s="66"/>
    </row>
    <row r="104" spans="1:131" x14ac:dyDescent="0.2">
      <c r="A104" s="38" t="s">
        <v>381</v>
      </c>
      <c r="B104" s="39"/>
      <c r="C104" s="39" t="s">
        <v>273</v>
      </c>
      <c r="D104" s="39"/>
      <c r="E104" s="40"/>
      <c r="F104" s="41"/>
      <c r="G104" s="41"/>
      <c r="H104" s="41"/>
      <c r="I104" s="41"/>
      <c r="J104" s="41"/>
      <c r="K104" s="51"/>
      <c r="L104" s="41"/>
      <c r="M104" s="41"/>
      <c r="N104" s="41"/>
      <c r="O104" s="41">
        <v>575255</v>
      </c>
      <c r="P104" s="41"/>
      <c r="Q104" s="41"/>
      <c r="R104" s="41"/>
      <c r="S104" s="41"/>
      <c r="T104" s="42">
        <f t="shared" si="64"/>
        <v>575255</v>
      </c>
      <c r="U104" s="43"/>
      <c r="V104" s="135">
        <v>575255</v>
      </c>
      <c r="W104" s="143" t="s">
        <v>368</v>
      </c>
      <c r="X104" s="143">
        <v>16</v>
      </c>
      <c r="Y104" s="171" t="s">
        <v>426</v>
      </c>
      <c r="Z104" s="171" t="s">
        <v>433</v>
      </c>
      <c r="AA104" s="2" t="s">
        <v>521</v>
      </c>
      <c r="AB104" s="188" t="s">
        <v>513</v>
      </c>
      <c r="AC104" s="10"/>
      <c r="AD104" s="13">
        <v>17257.649999999998</v>
      </c>
      <c r="AE104" s="10"/>
      <c r="AF104" s="10"/>
      <c r="AG104" s="45"/>
      <c r="AH104" s="45"/>
      <c r="AI104" s="45"/>
      <c r="AJ104" s="41"/>
      <c r="AK104" s="45"/>
      <c r="AL104" s="45"/>
      <c r="AN104" s="128">
        <v>0</v>
      </c>
      <c r="AO104" s="45"/>
      <c r="AP104" s="46">
        <f t="shared" si="34"/>
        <v>592512.65</v>
      </c>
      <c r="AQ104" s="47"/>
      <c r="AW104" s="48">
        <f t="shared" si="35"/>
        <v>592512.65</v>
      </c>
      <c r="AX104" s="66"/>
      <c r="AY104" s="47">
        <f t="shared" si="65"/>
        <v>592512.65</v>
      </c>
      <c r="AZ104" s="249">
        <f>-127000-24000</f>
        <v>-151000</v>
      </c>
      <c r="BB104" s="47" t="e">
        <f>VLOOKUP($AA104,#REF!,3,0)*(+AY104+AZ104)</f>
        <v>#REF!</v>
      </c>
      <c r="BC104" s="47" t="e">
        <f>VLOOKUP($AB104,#REF!,3,0)*(+AY104+AZ104)</f>
        <v>#REF!</v>
      </c>
      <c r="BE104" s="47"/>
      <c r="BH104" s="47" t="e">
        <f t="shared" si="36"/>
        <v>#REF!</v>
      </c>
      <c r="BM104" s="47" t="e">
        <f t="shared" si="37"/>
        <v>#REF!</v>
      </c>
      <c r="BN104" s="66"/>
      <c r="BO104" s="47" t="e">
        <f t="shared" si="66"/>
        <v>#REF!</v>
      </c>
      <c r="BP104" s="47"/>
      <c r="BR104" s="47" t="e">
        <f>VLOOKUP($AA104,#REF!,4,0)*(+BO104+BP104)</f>
        <v>#REF!</v>
      </c>
      <c r="BS104" s="47" t="e">
        <f>VLOOKUP($AB104,#REF!,4,0)*(+BO104+BP104)</f>
        <v>#REF!</v>
      </c>
      <c r="BV104" s="47"/>
      <c r="BY104" s="47" t="e">
        <f t="shared" si="63"/>
        <v>#REF!</v>
      </c>
      <c r="CD104" s="47" t="e">
        <f t="shared" si="38"/>
        <v>#REF!</v>
      </c>
      <c r="CE104" s="66"/>
      <c r="CF104" s="47" t="e">
        <f t="shared" si="67"/>
        <v>#REF!</v>
      </c>
      <c r="CG104" s="47"/>
      <c r="CI104" s="47" t="e">
        <f>VLOOKUP($AA104,#REF!,5,0)*(+CF104+CG104)</f>
        <v>#REF!</v>
      </c>
      <c r="CJ104" s="47" t="e">
        <f>VLOOKUP($AB104,#REF!,5,0)*(+CF104+CG104)</f>
        <v>#REF!</v>
      </c>
      <c r="CM104" s="47"/>
      <c r="CO104" s="47" t="e">
        <f t="shared" si="39"/>
        <v>#REF!</v>
      </c>
      <c r="CT104" s="47" t="e">
        <f t="shared" si="40"/>
        <v>#REF!</v>
      </c>
      <c r="CU104" s="66"/>
      <c r="CV104" s="47" t="e">
        <f t="shared" si="68"/>
        <v>#REF!</v>
      </c>
      <c r="CW104" s="47"/>
      <c r="CY104" s="47" t="e">
        <f>VLOOKUP($AA104,#REF!,6,0)*(+CV104+CW104)</f>
        <v>#REF!</v>
      </c>
      <c r="CZ104" s="47" t="e">
        <f>VLOOKUP($AB104,#REF!,6,0)*(+CV104+CW104)</f>
        <v>#REF!</v>
      </c>
      <c r="DC104" s="47"/>
      <c r="DE104" s="47" t="e">
        <f t="shared" si="41"/>
        <v>#REF!</v>
      </c>
      <c r="DJ104" s="47" t="e">
        <f t="shared" si="42"/>
        <v>#REF!</v>
      </c>
      <c r="DK104" s="66"/>
      <c r="DL104" s="47" t="e">
        <f t="shared" si="59"/>
        <v>#REF!</v>
      </c>
      <c r="DM104" s="47"/>
      <c r="DO104" s="47" t="e">
        <f>VLOOKUP($AA104,#REF!,7,0)*(+DL104+DM104)</f>
        <v>#REF!</v>
      </c>
      <c r="DP104" s="47" t="e">
        <f>VLOOKUP($AB104,#REF!,7,0)*(+DL104+DM104)</f>
        <v>#REF!</v>
      </c>
      <c r="DS104" s="47"/>
      <c r="DU104" s="47" t="e">
        <f t="shared" si="61"/>
        <v>#REF!</v>
      </c>
      <c r="DZ104" s="47" t="e">
        <f t="shared" si="62"/>
        <v>#REF!</v>
      </c>
      <c r="EA104" s="66"/>
    </row>
    <row r="105" spans="1:131" x14ac:dyDescent="0.2">
      <c r="A105" s="38" t="s">
        <v>374</v>
      </c>
      <c r="B105" s="39" t="s">
        <v>65</v>
      </c>
      <c r="C105" s="39" t="s">
        <v>66</v>
      </c>
      <c r="D105" s="49"/>
      <c r="E105" s="40">
        <v>281932</v>
      </c>
      <c r="F105" s="41"/>
      <c r="G105" s="41"/>
      <c r="H105" s="41"/>
      <c r="I105" s="41"/>
      <c r="J105" s="41">
        <v>-19643</v>
      </c>
      <c r="K105" s="51"/>
      <c r="L105" s="41"/>
      <c r="M105" s="41"/>
      <c r="N105" s="41"/>
      <c r="O105" s="41"/>
      <c r="P105" s="41"/>
      <c r="Q105" s="41"/>
      <c r="R105" s="41"/>
      <c r="S105" s="41">
        <f>SUM(E105:P105)/1.025*-0.025</f>
        <v>-6397.2926829268299</v>
      </c>
      <c r="T105" s="42">
        <f t="shared" ref="T105:T136" si="71">SUM(E105:S105)</f>
        <v>255891.70731707316</v>
      </c>
      <c r="U105" s="43"/>
      <c r="V105" s="141">
        <v>255891.70731707316</v>
      </c>
      <c r="W105" s="142" t="s">
        <v>367</v>
      </c>
      <c r="X105" s="142">
        <v>5</v>
      </c>
      <c r="Y105" s="171" t="s">
        <v>423</v>
      </c>
      <c r="Z105" s="171" t="s">
        <v>429</v>
      </c>
      <c r="AA105" s="247" t="s">
        <v>429</v>
      </c>
      <c r="AB105" s="187" t="s">
        <v>457</v>
      </c>
      <c r="AC105" s="10">
        <f>+T105*0.025</f>
        <v>6397.292682926829</v>
      </c>
      <c r="AD105" s="13">
        <v>7868.67</v>
      </c>
      <c r="AE105" s="10"/>
      <c r="AF105" s="10"/>
      <c r="AG105" s="45"/>
      <c r="AH105" s="45"/>
      <c r="AI105" s="45">
        <f>-T105*0.04</f>
        <v>-10235.668292682927</v>
      </c>
      <c r="AJ105" s="41"/>
      <c r="AK105" s="45"/>
      <c r="AL105" s="45"/>
      <c r="AN105" s="128">
        <v>-106</v>
      </c>
      <c r="AO105" s="45"/>
      <c r="AP105" s="46">
        <f t="shared" ref="AP105:AP136" si="72">SUM(AC105:AO105)+V105</f>
        <v>259816.00170731707</v>
      </c>
      <c r="AQ105" s="47"/>
      <c r="AW105" s="48">
        <f t="shared" ref="AW105:AW136" si="73">SUM(AP105:AV105)</f>
        <v>259816.00170731707</v>
      </c>
      <c r="AX105" s="66"/>
      <c r="AY105" s="47">
        <f t="shared" si="65"/>
        <v>253418.70902439023</v>
      </c>
      <c r="AZ105" s="47"/>
      <c r="BA105" s="47">
        <f t="shared" ref="BA105:BA107" si="74">+((AY105+AZ105)*0.025)*0.85</f>
        <v>5385.1475667682926</v>
      </c>
      <c r="BB105" s="47" t="e">
        <f>VLOOKUP($AA105,#REF!,3,0)*(+AY105+AZ105)</f>
        <v>#REF!</v>
      </c>
      <c r="BC105" s="47" t="e">
        <f>VLOOKUP($AB105,#REF!,3,0)*(+AY105+AZ105)</f>
        <v>#REF!</v>
      </c>
      <c r="BE105" s="47"/>
      <c r="BH105" s="47" t="e">
        <f t="shared" ref="BH105:BH175" si="75">SUM(AY105:BG105)</f>
        <v>#REF!</v>
      </c>
      <c r="BM105" s="47" t="e">
        <f t="shared" ref="BM105:BM175" si="76">SUM(BH105:BL105)</f>
        <v>#REF!</v>
      </c>
      <c r="BN105" s="66"/>
      <c r="BO105" s="47" t="e">
        <f t="shared" si="66"/>
        <v>#REF!</v>
      </c>
      <c r="BP105" s="47"/>
      <c r="BQ105" s="47" t="e">
        <f t="shared" ref="BQ105:BQ107" si="77">+((BO105+BP105)*0.025)*0.85</f>
        <v>#REF!</v>
      </c>
      <c r="BR105" s="47" t="e">
        <f>VLOOKUP($AA105,#REF!,4,0)*(+BO105+BP105)</f>
        <v>#REF!</v>
      </c>
      <c r="BS105" s="47" t="e">
        <f>VLOOKUP($AB105,#REF!,4,0)*(+BO105+BP105)</f>
        <v>#REF!</v>
      </c>
      <c r="BV105" s="47"/>
      <c r="BY105" s="47" t="e">
        <f t="shared" si="63"/>
        <v>#REF!</v>
      </c>
      <c r="CD105" s="47" t="e">
        <f t="shared" ref="CD105:CD175" si="78">SUM(BY105:CC105)</f>
        <v>#REF!</v>
      </c>
      <c r="CE105" s="66"/>
      <c r="CF105" s="47" t="e">
        <f t="shared" si="67"/>
        <v>#REF!</v>
      </c>
      <c r="CG105" s="47"/>
      <c r="CH105" s="47" t="e">
        <f t="shared" ref="CH105:CH107" si="79">+((CF105+CG105)*0.025)*0.85</f>
        <v>#REF!</v>
      </c>
      <c r="CI105" s="47" t="e">
        <f>VLOOKUP($AA105,#REF!,5,0)*(+CF105+CG105)</f>
        <v>#REF!</v>
      </c>
      <c r="CJ105" s="47" t="e">
        <f>VLOOKUP($AB105,#REF!,5,0)*(+CF105+CG105)</f>
        <v>#REF!</v>
      </c>
      <c r="CM105" s="47"/>
      <c r="CO105" s="47" t="e">
        <f t="shared" ref="CO105:CO175" si="80">SUM(CF105:CN105)</f>
        <v>#REF!</v>
      </c>
      <c r="CT105" s="47" t="e">
        <f t="shared" ref="CT105:CT175" si="81">SUM(CO105:CS105)</f>
        <v>#REF!</v>
      </c>
      <c r="CU105" s="66"/>
      <c r="CV105" s="47" t="e">
        <f t="shared" si="68"/>
        <v>#REF!</v>
      </c>
      <c r="CW105" s="47"/>
      <c r="CX105" s="47" t="e">
        <f t="shared" ref="CX105:CX107" si="82">+((CV105+CW105)*0.025)*0.85</f>
        <v>#REF!</v>
      </c>
      <c r="CY105" s="47" t="e">
        <f>VLOOKUP($AA105,#REF!,6,0)*(+CV105+CW105)</f>
        <v>#REF!</v>
      </c>
      <c r="CZ105" s="47" t="e">
        <f>VLOOKUP($AB105,#REF!,6,0)*(+CV105+CW105)</f>
        <v>#REF!</v>
      </c>
      <c r="DC105" s="47"/>
      <c r="DE105" s="47" t="e">
        <f t="shared" ref="DE105:DE175" si="83">SUM(CV105:DD105)</f>
        <v>#REF!</v>
      </c>
      <c r="DJ105" s="47" t="e">
        <f t="shared" ref="DJ105:DJ175" si="84">SUM(DE105:DI105)</f>
        <v>#REF!</v>
      </c>
      <c r="DK105" s="66"/>
      <c r="DL105" s="47" t="e">
        <f t="shared" si="59"/>
        <v>#REF!</v>
      </c>
      <c r="DM105" s="47"/>
      <c r="DN105" s="47" t="e">
        <f t="shared" ref="DN105:DN107" si="85">+((DL105+DM105)*0.025)*0.85</f>
        <v>#REF!</v>
      </c>
      <c r="DO105" s="47" t="e">
        <f>VLOOKUP($AA105,#REF!,7,0)*(+DL105+DM105)</f>
        <v>#REF!</v>
      </c>
      <c r="DP105" s="47" t="e">
        <f>VLOOKUP($AB105,#REF!,7,0)*(+DL105+DM105)</f>
        <v>#REF!</v>
      </c>
      <c r="DS105" s="47"/>
      <c r="DU105" s="47" t="e">
        <f t="shared" si="61"/>
        <v>#REF!</v>
      </c>
      <c r="DZ105" s="47" t="e">
        <f t="shared" si="62"/>
        <v>#REF!</v>
      </c>
      <c r="EA105" s="66"/>
    </row>
    <row r="106" spans="1:131" x14ac:dyDescent="0.2">
      <c r="A106" s="38" t="s">
        <v>374</v>
      </c>
      <c r="B106" s="39" t="s">
        <v>100</v>
      </c>
      <c r="C106" s="49" t="s">
        <v>316</v>
      </c>
      <c r="D106" s="49"/>
      <c r="E106" s="40">
        <v>183500</v>
      </c>
      <c r="F106" s="41"/>
      <c r="G106" s="41"/>
      <c r="H106" s="41"/>
      <c r="I106" s="41"/>
      <c r="J106" s="41">
        <v>-191271</v>
      </c>
      <c r="K106" s="51"/>
      <c r="L106" s="41"/>
      <c r="M106" s="41"/>
      <c r="N106" s="41"/>
      <c r="O106" s="41"/>
      <c r="P106" s="41"/>
      <c r="Q106" s="41"/>
      <c r="R106" s="41"/>
      <c r="S106" s="41">
        <f>SUM(E106:P106)/1.025*-0.025</f>
        <v>189.53658536585368</v>
      </c>
      <c r="T106" s="42">
        <f t="shared" si="71"/>
        <v>-7581.4634146341459</v>
      </c>
      <c r="U106" s="43"/>
      <c r="V106" s="141">
        <v>59523.536585365851</v>
      </c>
      <c r="W106" s="142" t="s">
        <v>367</v>
      </c>
      <c r="X106" s="142">
        <v>5</v>
      </c>
      <c r="Y106" s="171" t="s">
        <v>423</v>
      </c>
      <c r="Z106" s="171" t="s">
        <v>429</v>
      </c>
      <c r="AA106" s="247" t="s">
        <v>429</v>
      </c>
      <c r="AB106" s="187" t="s">
        <v>457</v>
      </c>
      <c r="AC106" s="10">
        <f>+T106*0.025</f>
        <v>-189.53658536585365</v>
      </c>
      <c r="AD106" s="13">
        <v>-233.13</v>
      </c>
      <c r="AE106" s="10"/>
      <c r="AF106" s="10"/>
      <c r="AG106" s="45"/>
      <c r="AH106" s="45"/>
      <c r="AI106" s="45">
        <f>-T106*0.04</f>
        <v>303.25853658536585</v>
      </c>
      <c r="AJ106" s="41"/>
      <c r="AK106" s="45"/>
      <c r="AL106" s="45"/>
      <c r="AN106" s="128">
        <v>0</v>
      </c>
      <c r="AO106" s="45"/>
      <c r="AP106" s="46">
        <f t="shared" si="72"/>
        <v>59404.128536585362</v>
      </c>
      <c r="AQ106" s="47"/>
      <c r="AW106" s="48">
        <f t="shared" si="73"/>
        <v>59404.128536585362</v>
      </c>
      <c r="AX106" s="66"/>
      <c r="AY106" s="47">
        <f t="shared" si="65"/>
        <v>59593.665121951213</v>
      </c>
      <c r="AZ106" s="47"/>
      <c r="BA106" s="47">
        <f t="shared" si="74"/>
        <v>1266.3653838414634</v>
      </c>
      <c r="BB106" s="47" t="e">
        <f>VLOOKUP($AA106,#REF!,3,0)*(+AY106+AZ106)</f>
        <v>#REF!</v>
      </c>
      <c r="BC106" s="47" t="e">
        <f>VLOOKUP($AB106,#REF!,3,0)*(+AY106+AZ106)</f>
        <v>#REF!</v>
      </c>
      <c r="BE106" s="47"/>
      <c r="BH106" s="47" t="e">
        <f t="shared" si="75"/>
        <v>#REF!</v>
      </c>
      <c r="BM106" s="47" t="e">
        <f t="shared" si="76"/>
        <v>#REF!</v>
      </c>
      <c r="BN106" s="66"/>
      <c r="BO106" s="47" t="e">
        <f t="shared" si="66"/>
        <v>#REF!</v>
      </c>
      <c r="BP106" s="47"/>
      <c r="BQ106" s="47" t="e">
        <f t="shared" si="77"/>
        <v>#REF!</v>
      </c>
      <c r="BR106" s="47" t="e">
        <f>VLOOKUP($AA106,#REF!,4,0)*(+BO106+BP106)</f>
        <v>#REF!</v>
      </c>
      <c r="BS106" s="47" t="e">
        <f>VLOOKUP($AB106,#REF!,4,0)*(+BO106+BP106)</f>
        <v>#REF!</v>
      </c>
      <c r="BV106" s="47"/>
      <c r="BY106" s="47" t="e">
        <f t="shared" si="63"/>
        <v>#REF!</v>
      </c>
      <c r="CD106" s="47" t="e">
        <f t="shared" si="78"/>
        <v>#REF!</v>
      </c>
      <c r="CE106" s="66"/>
      <c r="CF106" s="47" t="e">
        <f t="shared" si="67"/>
        <v>#REF!</v>
      </c>
      <c r="CG106" s="47"/>
      <c r="CH106" s="47" t="e">
        <f t="shared" si="79"/>
        <v>#REF!</v>
      </c>
      <c r="CI106" s="47" t="e">
        <f>VLOOKUP($AA106,#REF!,5,0)*(+CF106+CG106)</f>
        <v>#REF!</v>
      </c>
      <c r="CJ106" s="47" t="e">
        <f>VLOOKUP($AB106,#REF!,5,0)*(+CF106+CG106)</f>
        <v>#REF!</v>
      </c>
      <c r="CM106" s="47"/>
      <c r="CO106" s="47" t="e">
        <f t="shared" si="80"/>
        <v>#REF!</v>
      </c>
      <c r="CT106" s="47" t="e">
        <f t="shared" si="81"/>
        <v>#REF!</v>
      </c>
      <c r="CU106" s="66"/>
      <c r="CV106" s="47" t="e">
        <f t="shared" si="68"/>
        <v>#REF!</v>
      </c>
      <c r="CW106" s="47"/>
      <c r="CX106" s="47" t="e">
        <f t="shared" si="82"/>
        <v>#REF!</v>
      </c>
      <c r="CY106" s="47" t="e">
        <f>VLOOKUP($AA106,#REF!,6,0)*(+CV106+CW106)</f>
        <v>#REF!</v>
      </c>
      <c r="CZ106" s="47" t="e">
        <f>VLOOKUP($AB106,#REF!,6,0)*(+CV106+CW106)</f>
        <v>#REF!</v>
      </c>
      <c r="DC106" s="47"/>
      <c r="DE106" s="47" t="e">
        <f t="shared" si="83"/>
        <v>#REF!</v>
      </c>
      <c r="DJ106" s="47" t="e">
        <f t="shared" si="84"/>
        <v>#REF!</v>
      </c>
      <c r="DK106" s="66"/>
      <c r="DL106" s="47" t="e">
        <f t="shared" si="59"/>
        <v>#REF!</v>
      </c>
      <c r="DM106" s="47"/>
      <c r="DN106" s="47" t="e">
        <f t="shared" si="85"/>
        <v>#REF!</v>
      </c>
      <c r="DO106" s="47" t="e">
        <f>VLOOKUP($AA106,#REF!,7,0)*(+DL106+DM106)</f>
        <v>#REF!</v>
      </c>
      <c r="DP106" s="47" t="e">
        <f>VLOOKUP($AB106,#REF!,7,0)*(+DL106+DM106)</f>
        <v>#REF!</v>
      </c>
      <c r="DS106" s="47"/>
      <c r="DU106" s="47" t="e">
        <f t="shared" si="61"/>
        <v>#REF!</v>
      </c>
      <c r="DZ106" s="47" t="e">
        <f t="shared" si="62"/>
        <v>#REF!</v>
      </c>
      <c r="EA106" s="66"/>
    </row>
    <row r="107" spans="1:131" x14ac:dyDescent="0.2">
      <c r="A107" s="38" t="s">
        <v>378</v>
      </c>
      <c r="B107" s="39" t="s">
        <v>101</v>
      </c>
      <c r="C107" s="39" t="s">
        <v>102</v>
      </c>
      <c r="D107" s="49"/>
      <c r="E107" s="40">
        <v>22578655</v>
      </c>
      <c r="F107" s="41"/>
      <c r="G107" s="41"/>
      <c r="H107" s="41">
        <v>250000</v>
      </c>
      <c r="I107" s="41"/>
      <c r="J107" s="41">
        <v>-372130</v>
      </c>
      <c r="K107" s="51"/>
      <c r="L107" s="41"/>
      <c r="M107" s="41"/>
      <c r="N107" s="41"/>
      <c r="O107" s="41"/>
      <c r="P107" s="41"/>
      <c r="Q107" s="41"/>
      <c r="R107" s="41"/>
      <c r="S107" s="41">
        <f>SUM(E107:P107)/1.025*-0.025</f>
        <v>-547720.12195121951</v>
      </c>
      <c r="T107" s="42">
        <f t="shared" si="71"/>
        <v>21908804.878048781</v>
      </c>
      <c r="U107" s="43"/>
      <c r="V107" s="141">
        <v>21908804.878048781</v>
      </c>
      <c r="W107" s="142" t="s">
        <v>367</v>
      </c>
      <c r="X107" s="142">
        <v>4</v>
      </c>
      <c r="Y107" s="172" t="s">
        <v>424</v>
      </c>
      <c r="Z107" s="171" t="s">
        <v>429</v>
      </c>
      <c r="AA107" s="247" t="s">
        <v>429</v>
      </c>
      <c r="AB107" s="187" t="s">
        <v>457</v>
      </c>
      <c r="AC107" s="10">
        <f>+T107*0.025</f>
        <v>547720.12195121951</v>
      </c>
      <c r="AD107" s="13">
        <v>673695.75</v>
      </c>
      <c r="AE107" s="10"/>
      <c r="AF107" s="10"/>
      <c r="AG107" s="45"/>
      <c r="AH107" s="45"/>
      <c r="AI107" s="45">
        <f>-T107*0.04</f>
        <v>-876352.19512195128</v>
      </c>
      <c r="AJ107" s="41"/>
      <c r="AK107" s="45"/>
      <c r="AL107" s="45"/>
      <c r="AN107" s="128">
        <v>166027</v>
      </c>
      <c r="AO107" s="45"/>
      <c r="AP107" s="46">
        <f t="shared" si="72"/>
        <v>22419895.554878049</v>
      </c>
      <c r="AQ107" s="47"/>
      <c r="AW107" s="48">
        <f t="shared" si="73"/>
        <v>22419895.554878049</v>
      </c>
      <c r="AX107" s="66"/>
      <c r="AY107" s="47">
        <f t="shared" si="65"/>
        <v>21872175.43292683</v>
      </c>
      <c r="AZ107" s="47">
        <f>240000</f>
        <v>240000</v>
      </c>
      <c r="BA107" s="47">
        <f t="shared" si="74"/>
        <v>469883.72794969514</v>
      </c>
      <c r="BB107" s="47" t="e">
        <f>VLOOKUP($AA107,#REF!,3,0)*(+AY107+AZ107)</f>
        <v>#REF!</v>
      </c>
      <c r="BC107" s="47" t="e">
        <f>VLOOKUP($AB107,#REF!,3,0)*(+AY107+AZ107)</f>
        <v>#REF!</v>
      </c>
      <c r="BD107" s="38">
        <v>506000</v>
      </c>
      <c r="BE107" s="47"/>
      <c r="BH107" s="47" t="e">
        <f t="shared" si="75"/>
        <v>#REF!</v>
      </c>
      <c r="BM107" s="47" t="e">
        <f t="shared" si="76"/>
        <v>#REF!</v>
      </c>
      <c r="BN107" s="66"/>
      <c r="BO107" s="47" t="e">
        <f t="shared" si="66"/>
        <v>#REF!</v>
      </c>
      <c r="BP107" s="47"/>
      <c r="BQ107" s="47" t="e">
        <f t="shared" si="77"/>
        <v>#REF!</v>
      </c>
      <c r="BR107" s="47" t="e">
        <f>VLOOKUP($AA107,#REF!,4,0)*(+BO107+BP107)</f>
        <v>#REF!</v>
      </c>
      <c r="BS107" s="47" t="e">
        <f>VLOOKUP($AB107,#REF!,4,0)*(+BO107+BP107)</f>
        <v>#REF!</v>
      </c>
      <c r="BT107" s="38">
        <v>1966000</v>
      </c>
      <c r="BV107" s="47"/>
      <c r="BY107" s="47" t="e">
        <f t="shared" si="63"/>
        <v>#REF!</v>
      </c>
      <c r="CD107" s="47" t="e">
        <f t="shared" si="78"/>
        <v>#REF!</v>
      </c>
      <c r="CE107" s="66"/>
      <c r="CF107" s="47" t="e">
        <f t="shared" si="67"/>
        <v>#REF!</v>
      </c>
      <c r="CG107" s="47"/>
      <c r="CH107" s="47" t="e">
        <f t="shared" si="79"/>
        <v>#REF!</v>
      </c>
      <c r="CI107" s="47" t="e">
        <f>VLOOKUP($AA107,#REF!,5,0)*(+CF107+CG107)</f>
        <v>#REF!</v>
      </c>
      <c r="CJ107" s="47" t="e">
        <f>VLOOKUP($AB107,#REF!,5,0)*(+CF107+CG107)</f>
        <v>#REF!</v>
      </c>
      <c r="CM107" s="47"/>
      <c r="CO107" s="47" t="e">
        <f t="shared" si="80"/>
        <v>#REF!</v>
      </c>
      <c r="CT107" s="47" t="e">
        <f t="shared" si="81"/>
        <v>#REF!</v>
      </c>
      <c r="CU107" s="66"/>
      <c r="CV107" s="47" t="e">
        <f t="shared" si="68"/>
        <v>#REF!</v>
      </c>
      <c r="CW107" s="47"/>
      <c r="CX107" s="47" t="e">
        <f t="shared" si="82"/>
        <v>#REF!</v>
      </c>
      <c r="CY107" s="47" t="e">
        <f>VLOOKUP($AA107,#REF!,6,0)*(+CV107+CW107)</f>
        <v>#REF!</v>
      </c>
      <c r="CZ107" s="47" t="e">
        <f>VLOOKUP($AB107,#REF!,6,0)*(+CV107+CW107)</f>
        <v>#REF!</v>
      </c>
      <c r="DC107" s="47"/>
      <c r="DE107" s="47" t="e">
        <f t="shared" si="83"/>
        <v>#REF!</v>
      </c>
      <c r="DJ107" s="47" t="e">
        <f t="shared" si="84"/>
        <v>#REF!</v>
      </c>
      <c r="DK107" s="66"/>
      <c r="DL107" s="47" t="e">
        <f t="shared" si="59"/>
        <v>#REF!</v>
      </c>
      <c r="DM107" s="47"/>
      <c r="DN107" s="47" t="e">
        <f t="shared" si="85"/>
        <v>#REF!</v>
      </c>
      <c r="DO107" s="47" t="e">
        <f>VLOOKUP($AA107,#REF!,7,0)*(+DL107+DM107)</f>
        <v>#REF!</v>
      </c>
      <c r="DP107" s="47" t="e">
        <f>VLOOKUP($AB107,#REF!,7,0)*(+DL107+DM107)</f>
        <v>#REF!</v>
      </c>
      <c r="DS107" s="47"/>
      <c r="DU107" s="47" t="e">
        <f t="shared" si="61"/>
        <v>#REF!</v>
      </c>
      <c r="DZ107" s="47" t="e">
        <f t="shared" si="62"/>
        <v>#REF!</v>
      </c>
      <c r="EA107" s="66"/>
    </row>
    <row r="108" spans="1:131" x14ac:dyDescent="0.2">
      <c r="A108" s="38" t="s">
        <v>380</v>
      </c>
      <c r="B108" s="39" t="s">
        <v>207</v>
      </c>
      <c r="C108" s="39" t="s">
        <v>208</v>
      </c>
      <c r="D108" s="39"/>
      <c r="E108" s="40">
        <v>96780</v>
      </c>
      <c r="F108" s="41"/>
      <c r="G108" s="41"/>
      <c r="H108" s="41"/>
      <c r="I108" s="41"/>
      <c r="J108" s="41"/>
      <c r="K108" s="51"/>
      <c r="L108" s="41"/>
      <c r="M108" s="41"/>
      <c r="N108" s="41"/>
      <c r="O108" s="41"/>
      <c r="P108" s="41"/>
      <c r="Q108" s="41"/>
      <c r="R108" s="41"/>
      <c r="S108" s="41"/>
      <c r="T108" s="42">
        <f t="shared" si="71"/>
        <v>96780</v>
      </c>
      <c r="U108" s="43"/>
      <c r="V108" s="139">
        <v>96780</v>
      </c>
      <c r="W108" s="143" t="s">
        <v>368</v>
      </c>
      <c r="X108" s="143">
        <v>11</v>
      </c>
      <c r="Y108" s="171" t="s">
        <v>423</v>
      </c>
      <c r="Z108" s="171" t="s">
        <v>429</v>
      </c>
      <c r="AA108" s="247" t="s">
        <v>429</v>
      </c>
      <c r="AB108" s="187" t="s">
        <v>457</v>
      </c>
      <c r="AC108" s="10"/>
      <c r="AD108" s="13">
        <v>2903.4</v>
      </c>
      <c r="AE108" s="10"/>
      <c r="AF108" s="10"/>
      <c r="AG108" s="45"/>
      <c r="AH108" s="45"/>
      <c r="AI108" s="45"/>
      <c r="AJ108" s="41"/>
      <c r="AK108" s="45"/>
      <c r="AL108" s="45"/>
      <c r="AN108" s="128">
        <v>0</v>
      </c>
      <c r="AO108" s="45"/>
      <c r="AP108" s="46">
        <f t="shared" si="72"/>
        <v>99683.4</v>
      </c>
      <c r="AQ108" s="47"/>
      <c r="AW108" s="48">
        <f t="shared" si="73"/>
        <v>99683.4</v>
      </c>
      <c r="AX108" s="66"/>
      <c r="AY108" s="47">
        <f t="shared" si="65"/>
        <v>99683.4</v>
      </c>
      <c r="AZ108" s="47"/>
      <c r="BB108" s="47" t="e">
        <f>VLOOKUP($AA108,#REF!,3,0)*(+AY108+AZ108)</f>
        <v>#REF!</v>
      </c>
      <c r="BC108" s="47" t="e">
        <f>VLOOKUP($AB108,#REF!,3,0)*(+AY108+AZ108)</f>
        <v>#REF!</v>
      </c>
      <c r="BE108" s="47"/>
      <c r="BH108" s="47" t="e">
        <f t="shared" si="75"/>
        <v>#REF!</v>
      </c>
      <c r="BM108" s="47" t="e">
        <f t="shared" si="76"/>
        <v>#REF!</v>
      </c>
      <c r="BN108" s="66"/>
      <c r="BO108" s="47" t="e">
        <f t="shared" si="66"/>
        <v>#REF!</v>
      </c>
      <c r="BP108" s="47"/>
      <c r="BR108" s="47" t="e">
        <f>VLOOKUP($AA108,#REF!,4,0)*(+BO108+BP108)</f>
        <v>#REF!</v>
      </c>
      <c r="BS108" s="47" t="e">
        <f>VLOOKUP($AB108,#REF!,4,0)*(+BO108+BP108)</f>
        <v>#REF!</v>
      </c>
      <c r="BV108" s="47"/>
      <c r="BY108" s="47" t="e">
        <f t="shared" si="63"/>
        <v>#REF!</v>
      </c>
      <c r="CD108" s="47" t="e">
        <f t="shared" si="78"/>
        <v>#REF!</v>
      </c>
      <c r="CE108" s="66"/>
      <c r="CF108" s="47" t="e">
        <f t="shared" si="67"/>
        <v>#REF!</v>
      </c>
      <c r="CG108" s="47"/>
      <c r="CI108" s="47" t="e">
        <f>VLOOKUP($AA108,#REF!,5,0)*(+CF108+CG108)</f>
        <v>#REF!</v>
      </c>
      <c r="CJ108" s="47" t="e">
        <f>VLOOKUP($AB108,#REF!,5,0)*(+CF108+CG108)</f>
        <v>#REF!</v>
      </c>
      <c r="CM108" s="47"/>
      <c r="CO108" s="47" t="e">
        <f t="shared" si="80"/>
        <v>#REF!</v>
      </c>
      <c r="CT108" s="47" t="e">
        <f t="shared" si="81"/>
        <v>#REF!</v>
      </c>
      <c r="CU108" s="66"/>
      <c r="CV108" s="47" t="e">
        <f t="shared" si="68"/>
        <v>#REF!</v>
      </c>
      <c r="CW108" s="47"/>
      <c r="CY108" s="47" t="e">
        <f>VLOOKUP($AA108,#REF!,6,0)*(+CV108+CW108)</f>
        <v>#REF!</v>
      </c>
      <c r="CZ108" s="47" t="e">
        <f>VLOOKUP($AB108,#REF!,6,0)*(+CV108+CW108)</f>
        <v>#REF!</v>
      </c>
      <c r="DC108" s="47"/>
      <c r="DE108" s="47" t="e">
        <f t="shared" si="83"/>
        <v>#REF!</v>
      </c>
      <c r="DJ108" s="47" t="e">
        <f t="shared" si="84"/>
        <v>#REF!</v>
      </c>
      <c r="DK108" s="66"/>
      <c r="DL108" s="47" t="e">
        <f t="shared" si="59"/>
        <v>#REF!</v>
      </c>
      <c r="DM108" s="47"/>
      <c r="DO108" s="47" t="e">
        <f>VLOOKUP($AA108,#REF!,7,0)*(+DL108+DM108)</f>
        <v>#REF!</v>
      </c>
      <c r="DP108" s="47" t="e">
        <f>VLOOKUP($AB108,#REF!,7,0)*(+DL108+DM108)</f>
        <v>#REF!</v>
      </c>
      <c r="DS108" s="47"/>
      <c r="DU108" s="47" t="e">
        <f t="shared" si="61"/>
        <v>#REF!</v>
      </c>
      <c r="DZ108" s="47" t="e">
        <f t="shared" si="62"/>
        <v>#REF!</v>
      </c>
      <c r="EA108" s="66"/>
    </row>
    <row r="109" spans="1:131" x14ac:dyDescent="0.2">
      <c r="A109" s="38" t="s">
        <v>380</v>
      </c>
      <c r="B109" s="39" t="s">
        <v>209</v>
      </c>
      <c r="C109" s="39" t="s">
        <v>210</v>
      </c>
      <c r="D109" s="39"/>
      <c r="E109" s="40">
        <v>94508</v>
      </c>
      <c r="F109" s="41"/>
      <c r="G109" s="41"/>
      <c r="H109" s="41"/>
      <c r="I109" s="41"/>
      <c r="J109" s="41"/>
      <c r="K109" s="51"/>
      <c r="L109" s="41"/>
      <c r="M109" s="41"/>
      <c r="N109" s="41"/>
      <c r="O109" s="41"/>
      <c r="P109" s="41"/>
      <c r="Q109" s="41"/>
      <c r="R109" s="41"/>
      <c r="S109" s="41"/>
      <c r="T109" s="42">
        <f t="shared" si="71"/>
        <v>94508</v>
      </c>
      <c r="U109" s="43"/>
      <c r="V109" s="139">
        <v>94508</v>
      </c>
      <c r="W109" s="143" t="s">
        <v>368</v>
      </c>
      <c r="X109" s="143">
        <v>11</v>
      </c>
      <c r="Y109" s="171" t="s">
        <v>423</v>
      </c>
      <c r="Z109" s="171" t="s">
        <v>429</v>
      </c>
      <c r="AA109" s="247" t="s">
        <v>429</v>
      </c>
      <c r="AB109" s="187" t="s">
        <v>457</v>
      </c>
      <c r="AC109" s="10"/>
      <c r="AD109" s="13">
        <v>2835.24</v>
      </c>
      <c r="AE109" s="10"/>
      <c r="AF109" s="10"/>
      <c r="AG109" s="45"/>
      <c r="AH109" s="45"/>
      <c r="AI109" s="45"/>
      <c r="AJ109" s="41"/>
      <c r="AK109" s="45"/>
      <c r="AL109" s="45"/>
      <c r="AN109" s="128">
        <v>0</v>
      </c>
      <c r="AO109" s="45"/>
      <c r="AP109" s="46">
        <f t="shared" si="72"/>
        <v>97343.24</v>
      </c>
      <c r="AQ109" s="47"/>
      <c r="AW109" s="48">
        <f t="shared" si="73"/>
        <v>97343.24</v>
      </c>
      <c r="AX109" s="66"/>
      <c r="AY109" s="47">
        <f t="shared" si="65"/>
        <v>97343.24</v>
      </c>
      <c r="AZ109" s="47"/>
      <c r="BB109" s="47" t="e">
        <f>VLOOKUP($AA109,#REF!,3,0)*(+AY109+AZ109)</f>
        <v>#REF!</v>
      </c>
      <c r="BC109" s="47" t="e">
        <f>VLOOKUP($AB109,#REF!,3,0)*(+AY109+AZ109)</f>
        <v>#REF!</v>
      </c>
      <c r="BE109" s="47"/>
      <c r="BH109" s="47" t="e">
        <f t="shared" si="75"/>
        <v>#REF!</v>
      </c>
      <c r="BM109" s="47" t="e">
        <f t="shared" si="76"/>
        <v>#REF!</v>
      </c>
      <c r="BN109" s="66"/>
      <c r="BO109" s="47" t="e">
        <f t="shared" si="66"/>
        <v>#REF!</v>
      </c>
      <c r="BP109" s="47"/>
      <c r="BR109" s="47" t="e">
        <f>VLOOKUP($AA109,#REF!,4,0)*(+BO109+BP109)</f>
        <v>#REF!</v>
      </c>
      <c r="BS109" s="47" t="e">
        <f>VLOOKUP($AB109,#REF!,4,0)*(+BO109+BP109)</f>
        <v>#REF!</v>
      </c>
      <c r="BV109" s="47"/>
      <c r="BY109" s="47" t="e">
        <f t="shared" si="63"/>
        <v>#REF!</v>
      </c>
      <c r="CD109" s="47" t="e">
        <f t="shared" si="78"/>
        <v>#REF!</v>
      </c>
      <c r="CE109" s="66"/>
      <c r="CF109" s="47" t="e">
        <f t="shared" si="67"/>
        <v>#REF!</v>
      </c>
      <c r="CG109" s="47"/>
      <c r="CI109" s="47" t="e">
        <f>VLOOKUP($AA109,#REF!,5,0)*(+CF109+CG109)</f>
        <v>#REF!</v>
      </c>
      <c r="CJ109" s="47" t="e">
        <f>VLOOKUP($AB109,#REF!,5,0)*(+CF109+CG109)</f>
        <v>#REF!</v>
      </c>
      <c r="CM109" s="47"/>
      <c r="CO109" s="47" t="e">
        <f t="shared" si="80"/>
        <v>#REF!</v>
      </c>
      <c r="CT109" s="47" t="e">
        <f t="shared" si="81"/>
        <v>#REF!</v>
      </c>
      <c r="CU109" s="66"/>
      <c r="CV109" s="47" t="e">
        <f t="shared" si="68"/>
        <v>#REF!</v>
      </c>
      <c r="CW109" s="47"/>
      <c r="CY109" s="47" t="e">
        <f>VLOOKUP($AA109,#REF!,6,0)*(+CV109+CW109)</f>
        <v>#REF!</v>
      </c>
      <c r="CZ109" s="47" t="e">
        <f>VLOOKUP($AB109,#REF!,6,0)*(+CV109+CW109)</f>
        <v>#REF!</v>
      </c>
      <c r="DC109" s="47"/>
      <c r="DE109" s="47" t="e">
        <f t="shared" si="83"/>
        <v>#REF!</v>
      </c>
      <c r="DJ109" s="47" t="e">
        <f t="shared" si="84"/>
        <v>#REF!</v>
      </c>
      <c r="DK109" s="66"/>
      <c r="DL109" s="47" t="e">
        <f t="shared" si="59"/>
        <v>#REF!</v>
      </c>
      <c r="DM109" s="47"/>
      <c r="DO109" s="47" t="e">
        <f>VLOOKUP($AA109,#REF!,7,0)*(+DL109+DM109)</f>
        <v>#REF!</v>
      </c>
      <c r="DP109" s="47" t="e">
        <f>VLOOKUP($AB109,#REF!,7,0)*(+DL109+DM109)</f>
        <v>#REF!</v>
      </c>
      <c r="DS109" s="47"/>
      <c r="DU109" s="47" t="e">
        <f t="shared" si="61"/>
        <v>#REF!</v>
      </c>
      <c r="DZ109" s="47" t="e">
        <f t="shared" si="62"/>
        <v>#REF!</v>
      </c>
      <c r="EA109" s="66"/>
    </row>
    <row r="110" spans="1:131" x14ac:dyDescent="0.2">
      <c r="A110" s="38" t="s">
        <v>304</v>
      </c>
      <c r="B110" s="39" t="s">
        <v>7</v>
      </c>
      <c r="C110" s="39" t="s">
        <v>8</v>
      </c>
      <c r="D110" s="39"/>
      <c r="E110" s="40">
        <v>354515</v>
      </c>
      <c r="F110" s="41"/>
      <c r="G110" s="41"/>
      <c r="H110" s="41"/>
      <c r="I110" s="41"/>
      <c r="J110" s="41"/>
      <c r="K110" s="51"/>
      <c r="L110" s="41"/>
      <c r="M110" s="41"/>
      <c r="N110" s="41"/>
      <c r="O110" s="41"/>
      <c r="P110" s="41"/>
      <c r="Q110" s="41"/>
      <c r="R110" s="41"/>
      <c r="S110" s="41"/>
      <c r="T110" s="42">
        <f t="shared" si="71"/>
        <v>354515</v>
      </c>
      <c r="U110" s="43"/>
      <c r="V110" s="139">
        <v>354515</v>
      </c>
      <c r="W110" s="143" t="s">
        <v>368</v>
      </c>
      <c r="X110" s="143">
        <v>9</v>
      </c>
      <c r="Y110" s="171" t="s">
        <v>423</v>
      </c>
      <c r="Z110" s="171" t="s">
        <v>342</v>
      </c>
      <c r="AA110" s="53" t="s">
        <v>290</v>
      </c>
      <c r="AB110" s="188" t="s">
        <v>513</v>
      </c>
      <c r="AC110" s="10"/>
      <c r="AD110" s="13">
        <v>10635.449999999999</v>
      </c>
      <c r="AE110" s="10"/>
      <c r="AF110" s="10"/>
      <c r="AG110" s="45"/>
      <c r="AH110" s="45"/>
      <c r="AI110" s="45"/>
      <c r="AJ110" s="41"/>
      <c r="AK110" s="45"/>
      <c r="AL110" s="45"/>
      <c r="AN110" s="128">
        <v>0</v>
      </c>
      <c r="AO110" s="45"/>
      <c r="AP110" s="46">
        <f t="shared" si="72"/>
        <v>365150.45</v>
      </c>
      <c r="AQ110" s="47"/>
      <c r="AW110" s="48">
        <f t="shared" si="73"/>
        <v>365150.45</v>
      </c>
      <c r="AX110" s="66"/>
      <c r="AY110" s="47">
        <f t="shared" si="65"/>
        <v>365150.45</v>
      </c>
      <c r="AZ110" s="244">
        <v>-365150</v>
      </c>
      <c r="BB110" s="47" t="e">
        <f>VLOOKUP($AA110,#REF!,3,0)*(+AY110+AZ110)</f>
        <v>#REF!</v>
      </c>
      <c r="BC110" s="47" t="e">
        <f>VLOOKUP($AB110,#REF!,3,0)*(+AY110+AZ110)</f>
        <v>#REF!</v>
      </c>
      <c r="BE110" s="47"/>
      <c r="BH110" s="47" t="e">
        <f t="shared" si="75"/>
        <v>#REF!</v>
      </c>
      <c r="BM110" s="47" t="e">
        <f t="shared" si="76"/>
        <v>#REF!</v>
      </c>
      <c r="BN110" s="66"/>
      <c r="BO110" s="47" t="e">
        <f t="shared" si="66"/>
        <v>#REF!</v>
      </c>
      <c r="BP110" s="47"/>
      <c r="BR110" s="47" t="e">
        <f>VLOOKUP($AA110,#REF!,4,0)*(+BO110+BP110)</f>
        <v>#REF!</v>
      </c>
      <c r="BS110" s="47" t="e">
        <f>VLOOKUP($AB110,#REF!,4,0)*(+BO110+BP110)</f>
        <v>#REF!</v>
      </c>
      <c r="BV110" s="47"/>
      <c r="BY110" s="47" t="e">
        <f t="shared" si="63"/>
        <v>#REF!</v>
      </c>
      <c r="CD110" s="47" t="e">
        <f t="shared" si="78"/>
        <v>#REF!</v>
      </c>
      <c r="CE110" s="66"/>
      <c r="CF110" s="47" t="e">
        <f t="shared" si="67"/>
        <v>#REF!</v>
      </c>
      <c r="CG110" s="47"/>
      <c r="CI110" s="47" t="e">
        <f>VLOOKUP($AA110,#REF!,5,0)*(+CF110+CG110)</f>
        <v>#REF!</v>
      </c>
      <c r="CJ110" s="47" t="e">
        <f>VLOOKUP($AB110,#REF!,5,0)*(+CF110+CG110)</f>
        <v>#REF!</v>
      </c>
      <c r="CM110" s="47"/>
      <c r="CO110" s="47" t="e">
        <f t="shared" si="80"/>
        <v>#REF!</v>
      </c>
      <c r="CT110" s="47" t="e">
        <f t="shared" si="81"/>
        <v>#REF!</v>
      </c>
      <c r="CU110" s="66"/>
      <c r="CV110" s="47" t="e">
        <f t="shared" si="68"/>
        <v>#REF!</v>
      </c>
      <c r="CW110" s="47"/>
      <c r="CY110" s="47" t="e">
        <f>VLOOKUP($AA110,#REF!,6,0)*(+CV110+CW110)</f>
        <v>#REF!</v>
      </c>
      <c r="CZ110" s="47" t="e">
        <f>VLOOKUP($AB110,#REF!,6,0)*(+CV110+CW110)</f>
        <v>#REF!</v>
      </c>
      <c r="DC110" s="47"/>
      <c r="DE110" s="47" t="e">
        <f t="shared" si="83"/>
        <v>#REF!</v>
      </c>
      <c r="DJ110" s="47" t="e">
        <f t="shared" si="84"/>
        <v>#REF!</v>
      </c>
      <c r="DK110" s="66"/>
      <c r="DL110" s="47" t="e">
        <f t="shared" si="59"/>
        <v>#REF!</v>
      </c>
      <c r="DM110" s="47"/>
      <c r="DO110" s="47" t="e">
        <f>VLOOKUP($AA110,#REF!,7,0)*(+DL110+DM110)</f>
        <v>#REF!</v>
      </c>
      <c r="DP110" s="47" t="e">
        <f>VLOOKUP($AB110,#REF!,7,0)*(+DL110+DM110)</f>
        <v>#REF!</v>
      </c>
      <c r="DS110" s="47"/>
      <c r="DU110" s="47" t="e">
        <f t="shared" si="61"/>
        <v>#REF!</v>
      </c>
      <c r="DZ110" s="47" t="e">
        <f t="shared" si="62"/>
        <v>#REF!</v>
      </c>
      <c r="EA110" s="66"/>
    </row>
    <row r="111" spans="1:131" x14ac:dyDescent="0.2">
      <c r="A111" s="38" t="s">
        <v>304</v>
      </c>
      <c r="B111" s="39" t="s">
        <v>9</v>
      </c>
      <c r="C111" s="39" t="s">
        <v>10</v>
      </c>
      <c r="D111" s="39"/>
      <c r="E111" s="40">
        <v>61860</v>
      </c>
      <c r="F111" s="41"/>
      <c r="G111" s="41"/>
      <c r="H111" s="41"/>
      <c r="I111" s="41"/>
      <c r="J111" s="41"/>
      <c r="K111" s="51"/>
      <c r="L111" s="41"/>
      <c r="M111" s="41"/>
      <c r="N111" s="41"/>
      <c r="O111" s="41"/>
      <c r="P111" s="41"/>
      <c r="Q111" s="41"/>
      <c r="R111" s="41"/>
      <c r="S111" s="41"/>
      <c r="T111" s="42">
        <f t="shared" si="71"/>
        <v>61860</v>
      </c>
      <c r="U111" s="43"/>
      <c r="V111" s="139">
        <v>61860</v>
      </c>
      <c r="W111" s="143" t="s">
        <v>368</v>
      </c>
      <c r="X111" s="143">
        <v>9</v>
      </c>
      <c r="Y111" s="171" t="s">
        <v>423</v>
      </c>
      <c r="Z111" s="171" t="s">
        <v>342</v>
      </c>
      <c r="AA111" s="44" t="s">
        <v>290</v>
      </c>
      <c r="AB111" s="188" t="s">
        <v>513</v>
      </c>
      <c r="AC111" s="10"/>
      <c r="AD111" s="13">
        <v>1855.8</v>
      </c>
      <c r="AE111" s="10"/>
      <c r="AF111" s="10"/>
      <c r="AG111" s="45"/>
      <c r="AH111" s="45"/>
      <c r="AI111" s="45"/>
      <c r="AJ111" s="41"/>
      <c r="AK111" s="45"/>
      <c r="AL111" s="45"/>
      <c r="AN111" s="128">
        <v>0</v>
      </c>
      <c r="AO111" s="45"/>
      <c r="AP111" s="46">
        <f t="shared" si="72"/>
        <v>63715.8</v>
      </c>
      <c r="AQ111" s="47"/>
      <c r="AW111" s="48">
        <f t="shared" si="73"/>
        <v>63715.8</v>
      </c>
      <c r="AX111" s="66"/>
      <c r="AY111" s="47">
        <f t="shared" si="65"/>
        <v>63715.8</v>
      </c>
      <c r="AZ111" s="47"/>
      <c r="BB111" s="47" t="e">
        <f>VLOOKUP($AA111,#REF!,3,0)*(+AY111+AZ111)</f>
        <v>#REF!</v>
      </c>
      <c r="BC111" s="47" t="e">
        <f>VLOOKUP($AB111,#REF!,3,0)*(+AY111+AZ111)</f>
        <v>#REF!</v>
      </c>
      <c r="BE111" s="47"/>
      <c r="BH111" s="47" t="e">
        <f t="shared" si="75"/>
        <v>#REF!</v>
      </c>
      <c r="BM111" s="47" t="e">
        <f t="shared" si="76"/>
        <v>#REF!</v>
      </c>
      <c r="BN111" s="66"/>
      <c r="BO111" s="47" t="e">
        <f t="shared" si="66"/>
        <v>#REF!</v>
      </c>
      <c r="BP111" s="47"/>
      <c r="BR111" s="47" t="e">
        <f>VLOOKUP($AA111,#REF!,4,0)*(+BO111+BP111)</f>
        <v>#REF!</v>
      </c>
      <c r="BS111" s="47" t="e">
        <f>VLOOKUP($AB111,#REF!,4,0)*(+BO111+BP111)</f>
        <v>#REF!</v>
      </c>
      <c r="BV111" s="47"/>
      <c r="BY111" s="47" t="e">
        <f t="shared" si="63"/>
        <v>#REF!</v>
      </c>
      <c r="CD111" s="47" t="e">
        <f t="shared" si="78"/>
        <v>#REF!</v>
      </c>
      <c r="CE111" s="66"/>
      <c r="CF111" s="47" t="e">
        <f t="shared" si="67"/>
        <v>#REF!</v>
      </c>
      <c r="CG111" s="47"/>
      <c r="CI111" s="47" t="e">
        <f>VLOOKUP($AA111,#REF!,5,0)*(+CF111+CG111)</f>
        <v>#REF!</v>
      </c>
      <c r="CJ111" s="47" t="e">
        <f>VLOOKUP($AB111,#REF!,5,0)*(+CF111+CG111)</f>
        <v>#REF!</v>
      </c>
      <c r="CM111" s="47"/>
      <c r="CO111" s="47" t="e">
        <f t="shared" si="80"/>
        <v>#REF!</v>
      </c>
      <c r="CT111" s="47" t="e">
        <f t="shared" si="81"/>
        <v>#REF!</v>
      </c>
      <c r="CU111" s="66"/>
      <c r="CV111" s="47" t="e">
        <f t="shared" si="68"/>
        <v>#REF!</v>
      </c>
      <c r="CW111" s="47"/>
      <c r="CY111" s="47" t="e">
        <f>VLOOKUP($AA111,#REF!,6,0)*(+CV111+CW111)</f>
        <v>#REF!</v>
      </c>
      <c r="CZ111" s="47" t="e">
        <f>VLOOKUP($AB111,#REF!,6,0)*(+CV111+CW111)</f>
        <v>#REF!</v>
      </c>
      <c r="DC111" s="47"/>
      <c r="DE111" s="47" t="e">
        <f t="shared" si="83"/>
        <v>#REF!</v>
      </c>
      <c r="DJ111" s="47" t="e">
        <f t="shared" si="84"/>
        <v>#REF!</v>
      </c>
      <c r="DK111" s="66"/>
      <c r="DL111" s="47" t="e">
        <f t="shared" si="59"/>
        <v>#REF!</v>
      </c>
      <c r="DM111" s="47"/>
      <c r="DO111" s="47" t="e">
        <f>VLOOKUP($AA111,#REF!,7,0)*(+DL111+DM111)</f>
        <v>#REF!</v>
      </c>
      <c r="DP111" s="47" t="e">
        <f>VLOOKUP($AB111,#REF!,7,0)*(+DL111+DM111)</f>
        <v>#REF!</v>
      </c>
      <c r="DS111" s="47"/>
      <c r="DU111" s="47" t="e">
        <f t="shared" si="61"/>
        <v>#REF!</v>
      </c>
      <c r="DZ111" s="47" t="e">
        <f t="shared" si="62"/>
        <v>#REF!</v>
      </c>
      <c r="EA111" s="66"/>
    </row>
    <row r="112" spans="1:131" x14ac:dyDescent="0.2">
      <c r="A112" s="38" t="s">
        <v>304</v>
      </c>
      <c r="B112" s="39" t="s">
        <v>11</v>
      </c>
      <c r="C112" s="39" t="s">
        <v>12</v>
      </c>
      <c r="D112" s="39"/>
      <c r="E112" s="40">
        <v>93000</v>
      </c>
      <c r="F112" s="41"/>
      <c r="G112" s="41"/>
      <c r="H112" s="41"/>
      <c r="I112" s="41"/>
      <c r="J112" s="41"/>
      <c r="K112" s="51"/>
      <c r="L112" s="41"/>
      <c r="M112" s="41"/>
      <c r="N112" s="41"/>
      <c r="O112" s="41"/>
      <c r="P112" s="41"/>
      <c r="Q112" s="41"/>
      <c r="R112" s="41"/>
      <c r="S112" s="41"/>
      <c r="T112" s="42">
        <f t="shared" si="71"/>
        <v>93000</v>
      </c>
      <c r="U112" s="43"/>
      <c r="V112" s="139">
        <v>93000</v>
      </c>
      <c r="W112" s="143" t="s">
        <v>368</v>
      </c>
      <c r="X112" s="143">
        <v>9</v>
      </c>
      <c r="Y112" s="171" t="s">
        <v>423</v>
      </c>
      <c r="Z112" s="171" t="s">
        <v>342</v>
      </c>
      <c r="AA112" s="44" t="s">
        <v>290</v>
      </c>
      <c r="AB112" s="188" t="s">
        <v>513</v>
      </c>
      <c r="AC112" s="10"/>
      <c r="AD112" s="13">
        <v>2790</v>
      </c>
      <c r="AE112" s="10"/>
      <c r="AF112" s="10"/>
      <c r="AG112" s="45"/>
      <c r="AH112" s="45"/>
      <c r="AI112" s="45"/>
      <c r="AJ112" s="41"/>
      <c r="AK112" s="45"/>
      <c r="AL112" s="45"/>
      <c r="AN112" s="128">
        <v>0</v>
      </c>
      <c r="AO112" s="45"/>
      <c r="AP112" s="46">
        <f t="shared" si="72"/>
        <v>95790</v>
      </c>
      <c r="AQ112" s="47"/>
      <c r="AW112" s="48">
        <f t="shared" si="73"/>
        <v>95790</v>
      </c>
      <c r="AX112" s="66"/>
      <c r="AY112" s="47">
        <f t="shared" si="65"/>
        <v>95790</v>
      </c>
      <c r="AZ112" s="244">
        <v>-95790</v>
      </c>
      <c r="BB112" s="47" t="e">
        <f>VLOOKUP($AA112,#REF!,3,0)*(+AY112+AZ112)</f>
        <v>#REF!</v>
      </c>
      <c r="BC112" s="47" t="e">
        <f>VLOOKUP($AB112,#REF!,3,0)*(+AY112+AZ112)</f>
        <v>#REF!</v>
      </c>
      <c r="BE112" s="47"/>
      <c r="BH112" s="47" t="e">
        <f t="shared" si="75"/>
        <v>#REF!</v>
      </c>
      <c r="BM112" s="47" t="e">
        <f t="shared" si="76"/>
        <v>#REF!</v>
      </c>
      <c r="BN112" s="66"/>
      <c r="BO112" s="47" t="e">
        <f t="shared" si="66"/>
        <v>#REF!</v>
      </c>
      <c r="BP112" s="47"/>
      <c r="BR112" s="47" t="e">
        <f>VLOOKUP($AA112,#REF!,4,0)*(+BO112+BP112)</f>
        <v>#REF!</v>
      </c>
      <c r="BS112" s="47" t="e">
        <f>VLOOKUP($AB112,#REF!,4,0)*(+BO112+BP112)</f>
        <v>#REF!</v>
      </c>
      <c r="BV112" s="47"/>
      <c r="BY112" s="47" t="e">
        <f t="shared" si="63"/>
        <v>#REF!</v>
      </c>
      <c r="CD112" s="47" t="e">
        <f t="shared" si="78"/>
        <v>#REF!</v>
      </c>
      <c r="CE112" s="66"/>
      <c r="CF112" s="47" t="e">
        <f t="shared" si="67"/>
        <v>#REF!</v>
      </c>
      <c r="CG112" s="47"/>
      <c r="CI112" s="47" t="e">
        <f>VLOOKUP($AA112,#REF!,5,0)*(+CF112+CG112)</f>
        <v>#REF!</v>
      </c>
      <c r="CJ112" s="47" t="e">
        <f>VLOOKUP($AB112,#REF!,5,0)*(+CF112+CG112)</f>
        <v>#REF!</v>
      </c>
      <c r="CM112" s="47"/>
      <c r="CO112" s="47" t="e">
        <f t="shared" si="80"/>
        <v>#REF!</v>
      </c>
      <c r="CT112" s="47" t="e">
        <f t="shared" si="81"/>
        <v>#REF!</v>
      </c>
      <c r="CU112" s="66"/>
      <c r="CV112" s="47" t="e">
        <f t="shared" si="68"/>
        <v>#REF!</v>
      </c>
      <c r="CW112" s="47"/>
      <c r="CY112" s="47" t="e">
        <f>VLOOKUP($AA112,#REF!,6,0)*(+CV112+CW112)</f>
        <v>#REF!</v>
      </c>
      <c r="CZ112" s="47" t="e">
        <f>VLOOKUP($AB112,#REF!,6,0)*(+CV112+CW112)</f>
        <v>#REF!</v>
      </c>
      <c r="DC112" s="47"/>
      <c r="DE112" s="47" t="e">
        <f t="shared" si="83"/>
        <v>#REF!</v>
      </c>
      <c r="DJ112" s="47" t="e">
        <f t="shared" si="84"/>
        <v>#REF!</v>
      </c>
      <c r="DK112" s="66"/>
      <c r="DL112" s="47" t="e">
        <f t="shared" si="59"/>
        <v>#REF!</v>
      </c>
      <c r="DM112" s="47"/>
      <c r="DO112" s="47" t="e">
        <f>VLOOKUP($AA112,#REF!,7,0)*(+DL112+DM112)</f>
        <v>#REF!</v>
      </c>
      <c r="DP112" s="47" t="e">
        <f>VLOOKUP($AB112,#REF!,7,0)*(+DL112+DM112)</f>
        <v>#REF!</v>
      </c>
      <c r="DS112" s="47"/>
      <c r="DU112" s="47" t="e">
        <f t="shared" si="61"/>
        <v>#REF!</v>
      </c>
      <c r="DZ112" s="47" t="e">
        <f t="shared" si="62"/>
        <v>#REF!</v>
      </c>
      <c r="EA112" s="66"/>
    </row>
    <row r="113" spans="1:131" x14ac:dyDescent="0.2">
      <c r="A113" s="38" t="s">
        <v>304</v>
      </c>
      <c r="B113" s="39" t="s">
        <v>13</v>
      </c>
      <c r="C113" s="39" t="s">
        <v>14</v>
      </c>
      <c r="D113" s="39"/>
      <c r="E113" s="40">
        <v>147000</v>
      </c>
      <c r="F113" s="41"/>
      <c r="G113" s="41"/>
      <c r="H113" s="41"/>
      <c r="I113" s="41"/>
      <c r="J113" s="41"/>
      <c r="K113" s="51"/>
      <c r="L113" s="41"/>
      <c r="M113" s="41"/>
      <c r="N113" s="41"/>
      <c r="O113" s="41"/>
      <c r="P113" s="41"/>
      <c r="Q113" s="41"/>
      <c r="R113" s="41"/>
      <c r="S113" s="41"/>
      <c r="T113" s="42">
        <f t="shared" si="71"/>
        <v>147000</v>
      </c>
      <c r="U113" s="43"/>
      <c r="V113" s="139">
        <v>147000</v>
      </c>
      <c r="W113" s="143" t="s">
        <v>368</v>
      </c>
      <c r="X113" s="143">
        <v>9</v>
      </c>
      <c r="Y113" s="171" t="s">
        <v>423</v>
      </c>
      <c r="Z113" s="171" t="s">
        <v>342</v>
      </c>
      <c r="AA113" s="44" t="s">
        <v>290</v>
      </c>
      <c r="AB113" s="188" t="s">
        <v>513</v>
      </c>
      <c r="AC113" s="10"/>
      <c r="AD113" s="13">
        <v>4410</v>
      </c>
      <c r="AE113" s="10"/>
      <c r="AF113" s="10"/>
      <c r="AG113" s="45"/>
      <c r="AH113" s="45"/>
      <c r="AI113" s="45"/>
      <c r="AJ113" s="41"/>
      <c r="AK113" s="45"/>
      <c r="AL113" s="45"/>
      <c r="AN113" s="128">
        <v>0</v>
      </c>
      <c r="AO113" s="45"/>
      <c r="AP113" s="46">
        <f t="shared" si="72"/>
        <v>151410</v>
      </c>
      <c r="AQ113" s="47"/>
      <c r="AW113" s="48">
        <f t="shared" si="73"/>
        <v>151410</v>
      </c>
      <c r="AX113" s="66"/>
      <c r="AY113" s="47">
        <f t="shared" si="65"/>
        <v>151410</v>
      </c>
      <c r="AZ113" s="244">
        <v>-151410</v>
      </c>
      <c r="BB113" s="47" t="e">
        <f>VLOOKUP($AA113,#REF!,3,0)*(+AY113+AZ113)</f>
        <v>#REF!</v>
      </c>
      <c r="BC113" s="47" t="e">
        <f>VLOOKUP($AB113,#REF!,3,0)*(+AY113+AZ113)</f>
        <v>#REF!</v>
      </c>
      <c r="BE113" s="47"/>
      <c r="BH113" s="47" t="e">
        <f t="shared" si="75"/>
        <v>#REF!</v>
      </c>
      <c r="BM113" s="47" t="e">
        <f t="shared" si="76"/>
        <v>#REF!</v>
      </c>
      <c r="BN113" s="66"/>
      <c r="BO113" s="47" t="e">
        <f t="shared" si="66"/>
        <v>#REF!</v>
      </c>
      <c r="BP113" s="47"/>
      <c r="BR113" s="47" t="e">
        <f>VLOOKUP($AA113,#REF!,4,0)*(+BO113+BP113)</f>
        <v>#REF!</v>
      </c>
      <c r="BS113" s="47" t="e">
        <f>VLOOKUP($AB113,#REF!,4,0)*(+BO113+BP113)</f>
        <v>#REF!</v>
      </c>
      <c r="BV113" s="47"/>
      <c r="BY113" s="47" t="e">
        <f t="shared" si="63"/>
        <v>#REF!</v>
      </c>
      <c r="CD113" s="47" t="e">
        <f t="shared" si="78"/>
        <v>#REF!</v>
      </c>
      <c r="CE113" s="66"/>
      <c r="CF113" s="47" t="e">
        <f t="shared" si="67"/>
        <v>#REF!</v>
      </c>
      <c r="CG113" s="47"/>
      <c r="CI113" s="47" t="e">
        <f>VLOOKUP($AA113,#REF!,5,0)*(+CF113+CG113)</f>
        <v>#REF!</v>
      </c>
      <c r="CJ113" s="47" t="e">
        <f>VLOOKUP($AB113,#REF!,5,0)*(+CF113+CG113)</f>
        <v>#REF!</v>
      </c>
      <c r="CM113" s="47"/>
      <c r="CO113" s="47" t="e">
        <f t="shared" si="80"/>
        <v>#REF!</v>
      </c>
      <c r="CT113" s="47" t="e">
        <f t="shared" si="81"/>
        <v>#REF!</v>
      </c>
      <c r="CU113" s="66"/>
      <c r="CV113" s="47" t="e">
        <f t="shared" si="68"/>
        <v>#REF!</v>
      </c>
      <c r="CW113" s="47"/>
      <c r="CY113" s="47" t="e">
        <f>VLOOKUP($AA113,#REF!,6,0)*(+CV113+CW113)</f>
        <v>#REF!</v>
      </c>
      <c r="CZ113" s="47" t="e">
        <f>VLOOKUP($AB113,#REF!,6,0)*(+CV113+CW113)</f>
        <v>#REF!</v>
      </c>
      <c r="DC113" s="47"/>
      <c r="DE113" s="47" t="e">
        <f t="shared" si="83"/>
        <v>#REF!</v>
      </c>
      <c r="DJ113" s="47" t="e">
        <f t="shared" si="84"/>
        <v>#REF!</v>
      </c>
      <c r="DK113" s="66"/>
      <c r="DL113" s="47" t="e">
        <f t="shared" si="59"/>
        <v>#REF!</v>
      </c>
      <c r="DM113" s="47"/>
      <c r="DO113" s="47" t="e">
        <f>VLOOKUP($AA113,#REF!,7,0)*(+DL113+DM113)</f>
        <v>#REF!</v>
      </c>
      <c r="DP113" s="47" t="e">
        <f>VLOOKUP($AB113,#REF!,7,0)*(+DL113+DM113)</f>
        <v>#REF!</v>
      </c>
      <c r="DS113" s="47"/>
      <c r="DU113" s="47" t="e">
        <f t="shared" si="61"/>
        <v>#REF!</v>
      </c>
      <c r="DZ113" s="47" t="e">
        <f t="shared" si="62"/>
        <v>#REF!</v>
      </c>
      <c r="EA113" s="66"/>
    </row>
    <row r="114" spans="1:131" x14ac:dyDescent="0.2">
      <c r="A114" s="38" t="s">
        <v>304</v>
      </c>
      <c r="B114" s="39" t="s">
        <v>15</v>
      </c>
      <c r="C114" s="39" t="s">
        <v>16</v>
      </c>
      <c r="D114" s="39"/>
      <c r="E114" s="40">
        <v>597341</v>
      </c>
      <c r="F114" s="41"/>
      <c r="G114" s="41"/>
      <c r="H114" s="41"/>
      <c r="I114" s="41">
        <v>-597341</v>
      </c>
      <c r="J114" s="41"/>
      <c r="K114" s="51"/>
      <c r="L114" s="41"/>
      <c r="M114" s="41"/>
      <c r="N114" s="41"/>
      <c r="O114" s="41"/>
      <c r="P114" s="41"/>
      <c r="Q114" s="41"/>
      <c r="R114" s="41"/>
      <c r="S114" s="41"/>
      <c r="T114" s="42">
        <f t="shared" si="71"/>
        <v>0</v>
      </c>
      <c r="U114" s="43"/>
      <c r="V114" s="139">
        <v>0</v>
      </c>
      <c r="W114" s="143" t="s">
        <v>368</v>
      </c>
      <c r="X114" s="143">
        <v>9</v>
      </c>
      <c r="Y114" s="171" t="s">
        <v>423</v>
      </c>
      <c r="Z114" s="171" t="s">
        <v>342</v>
      </c>
      <c r="AA114" s="44" t="s">
        <v>290</v>
      </c>
      <c r="AB114" s="188" t="s">
        <v>513</v>
      </c>
      <c r="AC114" s="10"/>
      <c r="AD114" s="13">
        <v>0</v>
      </c>
      <c r="AE114" s="10"/>
      <c r="AF114" s="10"/>
      <c r="AG114" s="45"/>
      <c r="AH114" s="45"/>
      <c r="AI114" s="45"/>
      <c r="AJ114" s="41"/>
      <c r="AK114" s="45"/>
      <c r="AL114" s="45"/>
      <c r="AN114" s="128">
        <v>0</v>
      </c>
      <c r="AO114" s="45"/>
      <c r="AP114" s="46">
        <f t="shared" si="72"/>
        <v>0</v>
      </c>
      <c r="AQ114" s="47"/>
      <c r="AW114" s="48">
        <f t="shared" si="73"/>
        <v>0</v>
      </c>
      <c r="AX114" s="66"/>
      <c r="AY114" s="47">
        <f t="shared" si="65"/>
        <v>0</v>
      </c>
      <c r="AZ114" s="47"/>
      <c r="BB114" s="47" t="e">
        <f>VLOOKUP($AA114,#REF!,3,0)*(+AY114+AZ114)</f>
        <v>#REF!</v>
      </c>
      <c r="BC114" s="47" t="e">
        <f>VLOOKUP($AB114,#REF!,3,0)*(+AY114+AZ114)</f>
        <v>#REF!</v>
      </c>
      <c r="BE114" s="47"/>
      <c r="BH114" s="47" t="e">
        <f t="shared" si="75"/>
        <v>#REF!</v>
      </c>
      <c r="BM114" s="47" t="e">
        <f t="shared" si="76"/>
        <v>#REF!</v>
      </c>
      <c r="BN114" s="66"/>
      <c r="BO114" s="47" t="e">
        <f t="shared" si="66"/>
        <v>#REF!</v>
      </c>
      <c r="BP114" s="47"/>
      <c r="BR114" s="47" t="e">
        <f>VLOOKUP($AA114,#REF!,4,0)*(+BO114+BP114)</f>
        <v>#REF!</v>
      </c>
      <c r="BS114" s="47" t="e">
        <f>VLOOKUP($AB114,#REF!,4,0)*(+BO114+BP114)</f>
        <v>#REF!</v>
      </c>
      <c r="BV114" s="47"/>
      <c r="BY114" s="47" t="e">
        <f t="shared" si="63"/>
        <v>#REF!</v>
      </c>
      <c r="CD114" s="47" t="e">
        <f t="shared" si="78"/>
        <v>#REF!</v>
      </c>
      <c r="CE114" s="66"/>
      <c r="CF114" s="47" t="e">
        <f t="shared" si="67"/>
        <v>#REF!</v>
      </c>
      <c r="CG114" s="47"/>
      <c r="CI114" s="47" t="e">
        <f>VLOOKUP($AA114,#REF!,5,0)*(+CF114+CG114)</f>
        <v>#REF!</v>
      </c>
      <c r="CJ114" s="47" t="e">
        <f>VLOOKUP($AB114,#REF!,5,0)*(+CF114+CG114)</f>
        <v>#REF!</v>
      </c>
      <c r="CM114" s="47"/>
      <c r="CO114" s="47" t="e">
        <f t="shared" si="80"/>
        <v>#REF!</v>
      </c>
      <c r="CT114" s="47" t="e">
        <f t="shared" si="81"/>
        <v>#REF!</v>
      </c>
      <c r="CU114" s="66"/>
      <c r="CV114" s="47" t="e">
        <f t="shared" si="68"/>
        <v>#REF!</v>
      </c>
      <c r="CW114" s="47"/>
      <c r="CY114" s="47" t="e">
        <f>VLOOKUP($AA114,#REF!,6,0)*(+CV114+CW114)</f>
        <v>#REF!</v>
      </c>
      <c r="CZ114" s="47" t="e">
        <f>VLOOKUP($AB114,#REF!,6,0)*(+CV114+CW114)</f>
        <v>#REF!</v>
      </c>
      <c r="DC114" s="47"/>
      <c r="DE114" s="47" t="e">
        <f t="shared" si="83"/>
        <v>#REF!</v>
      </c>
      <c r="DJ114" s="47" t="e">
        <f t="shared" si="84"/>
        <v>#REF!</v>
      </c>
      <c r="DK114" s="66"/>
      <c r="DL114" s="47" t="e">
        <f t="shared" si="59"/>
        <v>#REF!</v>
      </c>
      <c r="DM114" s="47"/>
      <c r="DO114" s="47" t="e">
        <f>VLOOKUP($AA114,#REF!,7,0)*(+DL114+DM114)</f>
        <v>#REF!</v>
      </c>
      <c r="DP114" s="47" t="e">
        <f>VLOOKUP($AB114,#REF!,7,0)*(+DL114+DM114)</f>
        <v>#REF!</v>
      </c>
      <c r="DS114" s="47"/>
      <c r="DU114" s="47" t="e">
        <f t="shared" si="61"/>
        <v>#REF!</v>
      </c>
      <c r="DZ114" s="47" t="e">
        <f t="shared" si="62"/>
        <v>#REF!</v>
      </c>
      <c r="EA114" s="66"/>
    </row>
    <row r="115" spans="1:131" x14ac:dyDescent="0.2">
      <c r="A115" s="38" t="s">
        <v>304</v>
      </c>
      <c r="B115" s="39" t="s">
        <v>17</v>
      </c>
      <c r="C115" s="39" t="s">
        <v>18</v>
      </c>
      <c r="D115" s="39"/>
      <c r="E115" s="40">
        <v>61879</v>
      </c>
      <c r="F115" s="41"/>
      <c r="G115" s="41"/>
      <c r="H115" s="41"/>
      <c r="I115" s="41"/>
      <c r="J115" s="41"/>
      <c r="K115" s="51"/>
      <c r="L115" s="41"/>
      <c r="M115" s="41"/>
      <c r="N115" s="41"/>
      <c r="O115" s="41"/>
      <c r="P115" s="41"/>
      <c r="Q115" s="41"/>
      <c r="R115" s="41"/>
      <c r="S115" s="41"/>
      <c r="T115" s="42">
        <f t="shared" si="71"/>
        <v>61879</v>
      </c>
      <c r="U115" s="43"/>
      <c r="V115" s="139">
        <v>61879</v>
      </c>
      <c r="W115" s="143" t="s">
        <v>368</v>
      </c>
      <c r="X115" s="143">
        <v>9</v>
      </c>
      <c r="Y115" s="171" t="s">
        <v>423</v>
      </c>
      <c r="Z115" s="171" t="s">
        <v>342</v>
      </c>
      <c r="AA115" s="44" t="s">
        <v>290</v>
      </c>
      <c r="AB115" s="188" t="s">
        <v>513</v>
      </c>
      <c r="AC115" s="10"/>
      <c r="AD115" s="13">
        <v>1856.37</v>
      </c>
      <c r="AE115" s="10"/>
      <c r="AF115" s="10"/>
      <c r="AG115" s="45"/>
      <c r="AH115" s="45"/>
      <c r="AI115" s="45"/>
      <c r="AJ115" s="41"/>
      <c r="AK115" s="45"/>
      <c r="AL115" s="45"/>
      <c r="AN115" s="128">
        <v>0</v>
      </c>
      <c r="AO115" s="45"/>
      <c r="AP115" s="46">
        <f t="shared" si="72"/>
        <v>63735.37</v>
      </c>
      <c r="AQ115" s="47"/>
      <c r="AW115" s="48">
        <f t="shared" si="73"/>
        <v>63735.37</v>
      </c>
      <c r="AX115" s="66"/>
      <c r="AY115" s="47">
        <f t="shared" si="65"/>
        <v>63735.37</v>
      </c>
      <c r="AZ115" s="244">
        <v>-63735</v>
      </c>
      <c r="BB115" s="47" t="e">
        <f>VLOOKUP($AA115,#REF!,3,0)*(+AY115+AZ115)</f>
        <v>#REF!</v>
      </c>
      <c r="BC115" s="47" t="e">
        <f>VLOOKUP($AB115,#REF!,3,0)*(+AY115+AZ115)</f>
        <v>#REF!</v>
      </c>
      <c r="BE115" s="47"/>
      <c r="BH115" s="47" t="e">
        <f t="shared" si="75"/>
        <v>#REF!</v>
      </c>
      <c r="BM115" s="47" t="e">
        <f t="shared" si="76"/>
        <v>#REF!</v>
      </c>
      <c r="BN115" s="66"/>
      <c r="BO115" s="47" t="e">
        <f t="shared" si="66"/>
        <v>#REF!</v>
      </c>
      <c r="BP115" s="47"/>
      <c r="BR115" s="47" t="e">
        <f>VLOOKUP($AA115,#REF!,4,0)*(+BO115+BP115)</f>
        <v>#REF!</v>
      </c>
      <c r="BS115" s="47" t="e">
        <f>VLOOKUP($AB115,#REF!,4,0)*(+BO115+BP115)</f>
        <v>#REF!</v>
      </c>
      <c r="BV115" s="47"/>
      <c r="BY115" s="47" t="e">
        <f t="shared" si="63"/>
        <v>#REF!</v>
      </c>
      <c r="CD115" s="47" t="e">
        <f t="shared" si="78"/>
        <v>#REF!</v>
      </c>
      <c r="CE115" s="66"/>
      <c r="CF115" s="47" t="e">
        <f t="shared" si="67"/>
        <v>#REF!</v>
      </c>
      <c r="CG115" s="47"/>
      <c r="CI115" s="47" t="e">
        <f>VLOOKUP($AA115,#REF!,5,0)*(+CF115+CG115)</f>
        <v>#REF!</v>
      </c>
      <c r="CJ115" s="47" t="e">
        <f>VLOOKUP($AB115,#REF!,5,0)*(+CF115+CG115)</f>
        <v>#REF!</v>
      </c>
      <c r="CM115" s="47"/>
      <c r="CO115" s="47" t="e">
        <f t="shared" si="80"/>
        <v>#REF!</v>
      </c>
      <c r="CT115" s="47" t="e">
        <f t="shared" si="81"/>
        <v>#REF!</v>
      </c>
      <c r="CU115" s="66"/>
      <c r="CV115" s="47" t="e">
        <f t="shared" si="68"/>
        <v>#REF!</v>
      </c>
      <c r="CW115" s="47"/>
      <c r="CY115" s="47" t="e">
        <f>VLOOKUP($AA115,#REF!,6,0)*(+CV115+CW115)</f>
        <v>#REF!</v>
      </c>
      <c r="CZ115" s="47" t="e">
        <f>VLOOKUP($AB115,#REF!,6,0)*(+CV115+CW115)</f>
        <v>#REF!</v>
      </c>
      <c r="DC115" s="47"/>
      <c r="DE115" s="47" t="e">
        <f t="shared" si="83"/>
        <v>#REF!</v>
      </c>
      <c r="DJ115" s="47" t="e">
        <f t="shared" si="84"/>
        <v>#REF!</v>
      </c>
      <c r="DK115" s="66"/>
      <c r="DL115" s="47" t="e">
        <f t="shared" si="59"/>
        <v>#REF!</v>
      </c>
      <c r="DM115" s="47"/>
      <c r="DO115" s="47" t="e">
        <f>VLOOKUP($AA115,#REF!,7,0)*(+DL115+DM115)</f>
        <v>#REF!</v>
      </c>
      <c r="DP115" s="47" t="e">
        <f>VLOOKUP($AB115,#REF!,7,0)*(+DL115+DM115)</f>
        <v>#REF!</v>
      </c>
      <c r="DS115" s="47"/>
      <c r="DU115" s="47" t="e">
        <f t="shared" si="61"/>
        <v>#REF!</v>
      </c>
      <c r="DZ115" s="47" t="e">
        <f t="shared" si="62"/>
        <v>#REF!</v>
      </c>
      <c r="EA115" s="66"/>
    </row>
    <row r="116" spans="1:131" x14ac:dyDescent="0.2">
      <c r="A116" s="38" t="s">
        <v>304</v>
      </c>
      <c r="B116" s="39" t="s">
        <v>19</v>
      </c>
      <c r="C116" s="39" t="s">
        <v>20</v>
      </c>
      <c r="D116" s="39"/>
      <c r="E116" s="40">
        <v>9405</v>
      </c>
      <c r="F116" s="41"/>
      <c r="G116" s="41"/>
      <c r="H116" s="41"/>
      <c r="I116" s="41"/>
      <c r="J116" s="41"/>
      <c r="K116" s="51"/>
      <c r="L116" s="41"/>
      <c r="M116" s="41"/>
      <c r="N116" s="41"/>
      <c r="O116" s="41"/>
      <c r="P116" s="41"/>
      <c r="Q116" s="41"/>
      <c r="R116" s="41"/>
      <c r="S116" s="41"/>
      <c r="T116" s="42">
        <f t="shared" si="71"/>
        <v>9405</v>
      </c>
      <c r="U116" s="43"/>
      <c r="V116" s="139">
        <v>9405</v>
      </c>
      <c r="W116" s="143" t="s">
        <v>368</v>
      </c>
      <c r="X116" s="143">
        <v>9</v>
      </c>
      <c r="Y116" s="171" t="s">
        <v>423</v>
      </c>
      <c r="Z116" s="171" t="s">
        <v>342</v>
      </c>
      <c r="AA116" s="44" t="s">
        <v>290</v>
      </c>
      <c r="AB116" s="188" t="s">
        <v>513</v>
      </c>
      <c r="AC116" s="10"/>
      <c r="AD116" s="13">
        <v>282.14999999999998</v>
      </c>
      <c r="AE116" s="10"/>
      <c r="AF116" s="10"/>
      <c r="AG116" s="45"/>
      <c r="AH116" s="45"/>
      <c r="AI116" s="45"/>
      <c r="AJ116" s="41"/>
      <c r="AK116" s="45"/>
      <c r="AL116" s="45"/>
      <c r="AN116" s="128">
        <v>0</v>
      </c>
      <c r="AO116" s="45"/>
      <c r="AP116" s="46">
        <f t="shared" si="72"/>
        <v>9687.15</v>
      </c>
      <c r="AQ116" s="47"/>
      <c r="AW116" s="48">
        <f t="shared" si="73"/>
        <v>9687.15</v>
      </c>
      <c r="AX116" s="66"/>
      <c r="AY116" s="47">
        <f t="shared" si="65"/>
        <v>9687.15</v>
      </c>
      <c r="AZ116" s="244">
        <v>-9687</v>
      </c>
      <c r="BB116" s="47" t="e">
        <f>VLOOKUP($AA116,#REF!,3,0)*(+AY116+AZ116)</f>
        <v>#REF!</v>
      </c>
      <c r="BC116" s="47" t="e">
        <f>VLOOKUP($AB116,#REF!,3,0)*(+AY116+AZ116)</f>
        <v>#REF!</v>
      </c>
      <c r="BE116" s="47"/>
      <c r="BH116" s="47" t="e">
        <f t="shared" si="75"/>
        <v>#REF!</v>
      </c>
      <c r="BM116" s="47" t="e">
        <f t="shared" si="76"/>
        <v>#REF!</v>
      </c>
      <c r="BN116" s="66"/>
      <c r="BO116" s="47" t="e">
        <f t="shared" si="66"/>
        <v>#REF!</v>
      </c>
      <c r="BP116" s="47"/>
      <c r="BR116" s="47" t="e">
        <f>VLOOKUP($AA116,#REF!,4,0)*(+BO116+BP116)</f>
        <v>#REF!</v>
      </c>
      <c r="BS116" s="47" t="e">
        <f>VLOOKUP($AB116,#REF!,4,0)*(+BO116+BP116)</f>
        <v>#REF!</v>
      </c>
      <c r="BV116" s="47"/>
      <c r="BY116" s="47" t="e">
        <f t="shared" si="63"/>
        <v>#REF!</v>
      </c>
      <c r="CD116" s="47" t="e">
        <f t="shared" si="78"/>
        <v>#REF!</v>
      </c>
      <c r="CE116" s="66"/>
      <c r="CF116" s="47" t="e">
        <f t="shared" si="67"/>
        <v>#REF!</v>
      </c>
      <c r="CG116" s="47"/>
      <c r="CI116" s="47" t="e">
        <f>VLOOKUP($AA116,#REF!,5,0)*(+CF116+CG116)</f>
        <v>#REF!</v>
      </c>
      <c r="CJ116" s="47" t="e">
        <f>VLOOKUP($AB116,#REF!,5,0)*(+CF116+CG116)</f>
        <v>#REF!</v>
      </c>
      <c r="CM116" s="47"/>
      <c r="CO116" s="47" t="e">
        <f t="shared" si="80"/>
        <v>#REF!</v>
      </c>
      <c r="CT116" s="47" t="e">
        <f t="shared" si="81"/>
        <v>#REF!</v>
      </c>
      <c r="CU116" s="66"/>
      <c r="CV116" s="47" t="e">
        <f t="shared" si="68"/>
        <v>#REF!</v>
      </c>
      <c r="CW116" s="47"/>
      <c r="CY116" s="47" t="e">
        <f>VLOOKUP($AA116,#REF!,6,0)*(+CV116+CW116)</f>
        <v>#REF!</v>
      </c>
      <c r="CZ116" s="47" t="e">
        <f>VLOOKUP($AB116,#REF!,6,0)*(+CV116+CW116)</f>
        <v>#REF!</v>
      </c>
      <c r="DC116" s="47"/>
      <c r="DE116" s="47" t="e">
        <f t="shared" si="83"/>
        <v>#REF!</v>
      </c>
      <c r="DJ116" s="47" t="e">
        <f t="shared" si="84"/>
        <v>#REF!</v>
      </c>
      <c r="DK116" s="66"/>
      <c r="DL116" s="47" t="e">
        <f t="shared" si="59"/>
        <v>#REF!</v>
      </c>
      <c r="DM116" s="47"/>
      <c r="DO116" s="47" t="e">
        <f>VLOOKUP($AA116,#REF!,7,0)*(+DL116+DM116)</f>
        <v>#REF!</v>
      </c>
      <c r="DP116" s="47" t="e">
        <f>VLOOKUP($AB116,#REF!,7,0)*(+DL116+DM116)</f>
        <v>#REF!</v>
      </c>
      <c r="DS116" s="47"/>
      <c r="DU116" s="47" t="e">
        <f t="shared" si="61"/>
        <v>#REF!</v>
      </c>
      <c r="DZ116" s="47" t="e">
        <f t="shared" si="62"/>
        <v>#REF!</v>
      </c>
      <c r="EA116" s="66"/>
    </row>
    <row r="117" spans="1:131" x14ac:dyDescent="0.2">
      <c r="A117" s="38" t="s">
        <v>304</v>
      </c>
      <c r="B117" s="39" t="s">
        <v>21</v>
      </c>
      <c r="C117" s="39" t="s">
        <v>22</v>
      </c>
      <c r="D117" s="39"/>
      <c r="E117" s="40">
        <v>81612</v>
      </c>
      <c r="F117" s="41"/>
      <c r="G117" s="41"/>
      <c r="H117" s="41"/>
      <c r="I117" s="41"/>
      <c r="J117" s="41"/>
      <c r="K117" s="51"/>
      <c r="L117" s="41"/>
      <c r="M117" s="41"/>
      <c r="N117" s="41"/>
      <c r="O117" s="41"/>
      <c r="P117" s="41"/>
      <c r="Q117" s="41"/>
      <c r="R117" s="41"/>
      <c r="S117" s="41"/>
      <c r="T117" s="42">
        <f t="shared" si="71"/>
        <v>81612</v>
      </c>
      <c r="U117" s="43"/>
      <c r="V117" s="139">
        <v>81612</v>
      </c>
      <c r="W117" s="143" t="s">
        <v>368</v>
      </c>
      <c r="X117" s="143">
        <v>9</v>
      </c>
      <c r="Y117" s="171" t="s">
        <v>423</v>
      </c>
      <c r="Z117" s="171" t="s">
        <v>342</v>
      </c>
      <c r="AA117" s="44" t="s">
        <v>290</v>
      </c>
      <c r="AB117" s="188" t="s">
        <v>513</v>
      </c>
      <c r="AC117" s="10"/>
      <c r="AD117" s="13">
        <v>2448.36</v>
      </c>
      <c r="AE117" s="10"/>
      <c r="AF117" s="10"/>
      <c r="AG117" s="45"/>
      <c r="AH117" s="45"/>
      <c r="AI117" s="45"/>
      <c r="AJ117" s="41"/>
      <c r="AK117" s="45"/>
      <c r="AL117" s="45"/>
      <c r="AN117" s="128">
        <v>0</v>
      </c>
      <c r="AO117" s="45"/>
      <c r="AP117" s="46">
        <f t="shared" si="72"/>
        <v>84060.36</v>
      </c>
      <c r="AQ117" s="47"/>
      <c r="AW117" s="48">
        <f t="shared" si="73"/>
        <v>84060.36</v>
      </c>
      <c r="AX117" s="66"/>
      <c r="AY117" s="47">
        <f t="shared" si="65"/>
        <v>84060.36</v>
      </c>
      <c r="AZ117" s="244">
        <v>-84060</v>
      </c>
      <c r="BB117" s="47" t="e">
        <f>VLOOKUP($AA117,#REF!,3,0)*(+AY117+AZ117)</f>
        <v>#REF!</v>
      </c>
      <c r="BC117" s="47" t="e">
        <f>VLOOKUP($AB117,#REF!,3,0)*(+AY117+AZ117)</f>
        <v>#REF!</v>
      </c>
      <c r="BE117" s="47"/>
      <c r="BH117" s="47" t="e">
        <f t="shared" si="75"/>
        <v>#REF!</v>
      </c>
      <c r="BM117" s="47" t="e">
        <f t="shared" si="76"/>
        <v>#REF!</v>
      </c>
      <c r="BN117" s="66"/>
      <c r="BO117" s="47" t="e">
        <f t="shared" si="66"/>
        <v>#REF!</v>
      </c>
      <c r="BP117" s="47"/>
      <c r="BR117" s="47" t="e">
        <f>VLOOKUP($AA117,#REF!,4,0)*(+BO117+BP117)</f>
        <v>#REF!</v>
      </c>
      <c r="BS117" s="47" t="e">
        <f>VLOOKUP($AB117,#REF!,4,0)*(+BO117+BP117)</f>
        <v>#REF!</v>
      </c>
      <c r="BV117" s="47"/>
      <c r="BY117" s="47" t="e">
        <f t="shared" si="63"/>
        <v>#REF!</v>
      </c>
      <c r="CD117" s="47" t="e">
        <f t="shared" si="78"/>
        <v>#REF!</v>
      </c>
      <c r="CE117" s="66"/>
      <c r="CF117" s="47" t="e">
        <f t="shared" si="67"/>
        <v>#REF!</v>
      </c>
      <c r="CG117" s="47"/>
      <c r="CI117" s="47" t="e">
        <f>VLOOKUP($AA117,#REF!,5,0)*(+CF117+CG117)</f>
        <v>#REF!</v>
      </c>
      <c r="CJ117" s="47" t="e">
        <f>VLOOKUP($AB117,#REF!,5,0)*(+CF117+CG117)</f>
        <v>#REF!</v>
      </c>
      <c r="CM117" s="47"/>
      <c r="CO117" s="47" t="e">
        <f t="shared" si="80"/>
        <v>#REF!</v>
      </c>
      <c r="CT117" s="47" t="e">
        <f t="shared" si="81"/>
        <v>#REF!</v>
      </c>
      <c r="CU117" s="66"/>
      <c r="CV117" s="47" t="e">
        <f t="shared" si="68"/>
        <v>#REF!</v>
      </c>
      <c r="CW117" s="47"/>
      <c r="CY117" s="47" t="e">
        <f>VLOOKUP($AA117,#REF!,6,0)*(+CV117+CW117)</f>
        <v>#REF!</v>
      </c>
      <c r="CZ117" s="47" t="e">
        <f>VLOOKUP($AB117,#REF!,6,0)*(+CV117+CW117)</f>
        <v>#REF!</v>
      </c>
      <c r="DC117" s="47"/>
      <c r="DE117" s="47" t="e">
        <f t="shared" si="83"/>
        <v>#REF!</v>
      </c>
      <c r="DJ117" s="47" t="e">
        <f t="shared" si="84"/>
        <v>#REF!</v>
      </c>
      <c r="DK117" s="66"/>
      <c r="DL117" s="47" t="e">
        <f t="shared" si="59"/>
        <v>#REF!</v>
      </c>
      <c r="DM117" s="47"/>
      <c r="DO117" s="47" t="e">
        <f>VLOOKUP($AA117,#REF!,7,0)*(+DL117+DM117)</f>
        <v>#REF!</v>
      </c>
      <c r="DP117" s="47" t="e">
        <f>VLOOKUP($AB117,#REF!,7,0)*(+DL117+DM117)</f>
        <v>#REF!</v>
      </c>
      <c r="DS117" s="47"/>
      <c r="DU117" s="47" t="e">
        <f t="shared" si="61"/>
        <v>#REF!</v>
      </c>
      <c r="DZ117" s="47" t="e">
        <f t="shared" si="62"/>
        <v>#REF!</v>
      </c>
      <c r="EA117" s="66"/>
    </row>
    <row r="118" spans="1:131" x14ac:dyDescent="0.2">
      <c r="A118" s="38" t="s">
        <v>304</v>
      </c>
      <c r="B118" s="39" t="s">
        <v>23</v>
      </c>
      <c r="C118" s="39" t="s">
        <v>24</v>
      </c>
      <c r="D118" s="39"/>
      <c r="E118" s="40">
        <v>0</v>
      </c>
      <c r="F118" s="41"/>
      <c r="G118" s="41"/>
      <c r="H118" s="41"/>
      <c r="I118" s="41"/>
      <c r="J118" s="41"/>
      <c r="K118" s="51"/>
      <c r="L118" s="41"/>
      <c r="M118" s="41"/>
      <c r="N118" s="41"/>
      <c r="O118" s="41"/>
      <c r="P118" s="41"/>
      <c r="Q118" s="41"/>
      <c r="R118" s="41"/>
      <c r="S118" s="41"/>
      <c r="T118" s="42">
        <f t="shared" si="71"/>
        <v>0</v>
      </c>
      <c r="U118" s="43"/>
      <c r="V118" s="139">
        <v>0</v>
      </c>
      <c r="W118" s="143" t="s">
        <v>368</v>
      </c>
      <c r="X118" s="143">
        <v>9</v>
      </c>
      <c r="Y118" s="171" t="s">
        <v>423</v>
      </c>
      <c r="Z118" s="171" t="s">
        <v>342</v>
      </c>
      <c r="AA118" s="44" t="s">
        <v>290</v>
      </c>
      <c r="AB118" s="188" t="s">
        <v>513</v>
      </c>
      <c r="AC118" s="10"/>
      <c r="AD118" s="13">
        <v>0</v>
      </c>
      <c r="AE118" s="10"/>
      <c r="AF118" s="10"/>
      <c r="AG118" s="45"/>
      <c r="AH118" s="45"/>
      <c r="AI118" s="45"/>
      <c r="AJ118" s="41"/>
      <c r="AK118" s="45"/>
      <c r="AL118" s="45"/>
      <c r="AN118" s="128">
        <v>0</v>
      </c>
      <c r="AO118" s="45"/>
      <c r="AP118" s="46">
        <f t="shared" si="72"/>
        <v>0</v>
      </c>
      <c r="AQ118" s="47"/>
      <c r="AW118" s="48">
        <f t="shared" si="73"/>
        <v>0</v>
      </c>
      <c r="AX118" s="66"/>
      <c r="AY118" s="47">
        <f t="shared" si="65"/>
        <v>0</v>
      </c>
      <c r="AZ118" s="47"/>
      <c r="BB118" s="47" t="e">
        <f>VLOOKUP($AA118,#REF!,3,0)*(+AY118+AZ118)</f>
        <v>#REF!</v>
      </c>
      <c r="BC118" s="47" t="e">
        <f>VLOOKUP($AB118,#REF!,3,0)*(+AY118+AZ118)</f>
        <v>#REF!</v>
      </c>
      <c r="BE118" s="47"/>
      <c r="BH118" s="47" t="e">
        <f t="shared" si="75"/>
        <v>#REF!</v>
      </c>
      <c r="BM118" s="47" t="e">
        <f t="shared" si="76"/>
        <v>#REF!</v>
      </c>
      <c r="BN118" s="66"/>
      <c r="BO118" s="47" t="e">
        <f t="shared" si="66"/>
        <v>#REF!</v>
      </c>
      <c r="BP118" s="47"/>
      <c r="BR118" s="47" t="e">
        <f>VLOOKUP($AA118,#REF!,4,0)*(+BO118+BP118)</f>
        <v>#REF!</v>
      </c>
      <c r="BS118" s="47" t="e">
        <f>VLOOKUP($AB118,#REF!,4,0)*(+BO118+BP118)</f>
        <v>#REF!</v>
      </c>
      <c r="BV118" s="47"/>
      <c r="BY118" s="47" t="e">
        <f t="shared" si="63"/>
        <v>#REF!</v>
      </c>
      <c r="CD118" s="47" t="e">
        <f t="shared" si="78"/>
        <v>#REF!</v>
      </c>
      <c r="CE118" s="66"/>
      <c r="CF118" s="47" t="e">
        <f t="shared" si="67"/>
        <v>#REF!</v>
      </c>
      <c r="CG118" s="47"/>
      <c r="CI118" s="47" t="e">
        <f>VLOOKUP($AA118,#REF!,5,0)*(+CF118+CG118)</f>
        <v>#REF!</v>
      </c>
      <c r="CJ118" s="47" t="e">
        <f>VLOOKUP($AB118,#REF!,5,0)*(+CF118+CG118)</f>
        <v>#REF!</v>
      </c>
      <c r="CM118" s="47"/>
      <c r="CO118" s="47" t="e">
        <f t="shared" si="80"/>
        <v>#REF!</v>
      </c>
      <c r="CT118" s="47" t="e">
        <f t="shared" si="81"/>
        <v>#REF!</v>
      </c>
      <c r="CU118" s="66"/>
      <c r="CV118" s="47" t="e">
        <f t="shared" si="68"/>
        <v>#REF!</v>
      </c>
      <c r="CW118" s="47"/>
      <c r="CY118" s="47" t="e">
        <f>VLOOKUP($AA118,#REF!,6,0)*(+CV118+CW118)</f>
        <v>#REF!</v>
      </c>
      <c r="CZ118" s="47" t="e">
        <f>VLOOKUP($AB118,#REF!,6,0)*(+CV118+CW118)</f>
        <v>#REF!</v>
      </c>
      <c r="DC118" s="47"/>
      <c r="DE118" s="47" t="e">
        <f t="shared" si="83"/>
        <v>#REF!</v>
      </c>
      <c r="DJ118" s="47" t="e">
        <f t="shared" si="84"/>
        <v>#REF!</v>
      </c>
      <c r="DK118" s="66"/>
      <c r="DL118" s="47" t="e">
        <f t="shared" si="59"/>
        <v>#REF!</v>
      </c>
      <c r="DM118" s="47"/>
      <c r="DO118" s="47" t="e">
        <f>VLOOKUP($AA118,#REF!,7,0)*(+DL118+DM118)</f>
        <v>#REF!</v>
      </c>
      <c r="DP118" s="47" t="e">
        <f>VLOOKUP($AB118,#REF!,7,0)*(+DL118+DM118)</f>
        <v>#REF!</v>
      </c>
      <c r="DS118" s="47"/>
      <c r="DU118" s="47" t="e">
        <f t="shared" si="61"/>
        <v>#REF!</v>
      </c>
      <c r="DZ118" s="47" t="e">
        <f t="shared" si="62"/>
        <v>#REF!</v>
      </c>
      <c r="EA118" s="66"/>
    </row>
    <row r="119" spans="1:131" x14ac:dyDescent="0.2">
      <c r="A119" s="38" t="s">
        <v>304</v>
      </c>
      <c r="B119" s="39" t="s">
        <v>25</v>
      </c>
      <c r="C119" s="39" t="s">
        <v>26</v>
      </c>
      <c r="D119" s="39"/>
      <c r="E119" s="40">
        <v>227968</v>
      </c>
      <c r="F119" s="41"/>
      <c r="G119" s="41"/>
      <c r="H119" s="41"/>
      <c r="I119" s="41"/>
      <c r="J119" s="41"/>
      <c r="K119" s="51"/>
      <c r="L119" s="41"/>
      <c r="M119" s="41"/>
      <c r="N119" s="41"/>
      <c r="O119" s="41"/>
      <c r="P119" s="41"/>
      <c r="Q119" s="41"/>
      <c r="R119" s="41"/>
      <c r="S119" s="41"/>
      <c r="T119" s="42">
        <f t="shared" si="71"/>
        <v>227968</v>
      </c>
      <c r="U119" s="43"/>
      <c r="V119" s="139">
        <v>227968</v>
      </c>
      <c r="W119" s="143" t="s">
        <v>368</v>
      </c>
      <c r="X119" s="143">
        <v>9</v>
      </c>
      <c r="Y119" s="171" t="s">
        <v>423</v>
      </c>
      <c r="Z119" s="171" t="s">
        <v>342</v>
      </c>
      <c r="AA119" s="44" t="s">
        <v>290</v>
      </c>
      <c r="AB119" s="188" t="s">
        <v>513</v>
      </c>
      <c r="AC119" s="10"/>
      <c r="AD119" s="13">
        <v>6839.04</v>
      </c>
      <c r="AE119" s="10"/>
      <c r="AF119" s="10"/>
      <c r="AG119" s="45"/>
      <c r="AH119" s="45"/>
      <c r="AI119" s="45"/>
      <c r="AJ119" s="41"/>
      <c r="AK119" s="45"/>
      <c r="AL119" s="45"/>
      <c r="AN119" s="128">
        <v>0</v>
      </c>
      <c r="AO119" s="45"/>
      <c r="AP119" s="46">
        <f t="shared" si="72"/>
        <v>234807.04000000001</v>
      </c>
      <c r="AQ119" s="47"/>
      <c r="AW119" s="48">
        <f t="shared" si="73"/>
        <v>234807.04000000001</v>
      </c>
      <c r="AX119" s="66"/>
      <c r="AY119" s="47">
        <f t="shared" si="65"/>
        <v>234807.04000000001</v>
      </c>
      <c r="AZ119" s="47"/>
      <c r="BB119" s="47" t="e">
        <f>VLOOKUP($AA119,#REF!,3,0)*(+AY119+AZ119)</f>
        <v>#REF!</v>
      </c>
      <c r="BC119" s="47" t="e">
        <f>VLOOKUP($AB119,#REF!,3,0)*(+AY119+AZ119)</f>
        <v>#REF!</v>
      </c>
      <c r="BE119" s="47"/>
      <c r="BH119" s="47" t="e">
        <f t="shared" si="75"/>
        <v>#REF!</v>
      </c>
      <c r="BM119" s="47" t="e">
        <f t="shared" si="76"/>
        <v>#REF!</v>
      </c>
      <c r="BN119" s="66"/>
      <c r="BO119" s="47" t="e">
        <f t="shared" si="66"/>
        <v>#REF!</v>
      </c>
      <c r="BP119" s="47"/>
      <c r="BR119" s="47" t="e">
        <f>VLOOKUP($AA119,#REF!,4,0)*(+BO119+BP119)</f>
        <v>#REF!</v>
      </c>
      <c r="BS119" s="47" t="e">
        <f>VLOOKUP($AB119,#REF!,4,0)*(+BO119+BP119)</f>
        <v>#REF!</v>
      </c>
      <c r="BV119" s="47"/>
      <c r="BY119" s="47" t="e">
        <f t="shared" si="63"/>
        <v>#REF!</v>
      </c>
      <c r="CD119" s="47" t="e">
        <f t="shared" si="78"/>
        <v>#REF!</v>
      </c>
      <c r="CE119" s="66"/>
      <c r="CF119" s="47" t="e">
        <f t="shared" si="67"/>
        <v>#REF!</v>
      </c>
      <c r="CG119" s="47"/>
      <c r="CI119" s="47" t="e">
        <f>VLOOKUP($AA119,#REF!,5,0)*(+CF119+CG119)</f>
        <v>#REF!</v>
      </c>
      <c r="CJ119" s="47" t="e">
        <f>VLOOKUP($AB119,#REF!,5,0)*(+CF119+CG119)</f>
        <v>#REF!</v>
      </c>
      <c r="CM119" s="47"/>
      <c r="CO119" s="47" t="e">
        <f t="shared" si="80"/>
        <v>#REF!</v>
      </c>
      <c r="CT119" s="47" t="e">
        <f t="shared" si="81"/>
        <v>#REF!</v>
      </c>
      <c r="CU119" s="66"/>
      <c r="CV119" s="47" t="e">
        <f t="shared" si="68"/>
        <v>#REF!</v>
      </c>
      <c r="CW119" s="47"/>
      <c r="CY119" s="47" t="e">
        <f>VLOOKUP($AA119,#REF!,6,0)*(+CV119+CW119)</f>
        <v>#REF!</v>
      </c>
      <c r="CZ119" s="47" t="e">
        <f>VLOOKUP($AB119,#REF!,6,0)*(+CV119+CW119)</f>
        <v>#REF!</v>
      </c>
      <c r="DC119" s="47"/>
      <c r="DE119" s="47" t="e">
        <f t="shared" si="83"/>
        <v>#REF!</v>
      </c>
      <c r="DJ119" s="47" t="e">
        <f t="shared" si="84"/>
        <v>#REF!</v>
      </c>
      <c r="DK119" s="66"/>
      <c r="DL119" s="47" t="e">
        <f t="shared" si="59"/>
        <v>#REF!</v>
      </c>
      <c r="DM119" s="47"/>
      <c r="DO119" s="47" t="e">
        <f>VLOOKUP($AA119,#REF!,7,0)*(+DL119+DM119)</f>
        <v>#REF!</v>
      </c>
      <c r="DP119" s="47" t="e">
        <f>VLOOKUP($AB119,#REF!,7,0)*(+DL119+DM119)</f>
        <v>#REF!</v>
      </c>
      <c r="DS119" s="47"/>
      <c r="DU119" s="47" t="e">
        <f t="shared" si="61"/>
        <v>#REF!</v>
      </c>
      <c r="DZ119" s="47" t="e">
        <f t="shared" si="62"/>
        <v>#REF!</v>
      </c>
      <c r="EA119" s="66"/>
    </row>
    <row r="120" spans="1:131" x14ac:dyDescent="0.2">
      <c r="A120" s="38" t="s">
        <v>304</v>
      </c>
      <c r="B120" s="39" t="s">
        <v>27</v>
      </c>
      <c r="C120" s="39" t="s">
        <v>28</v>
      </c>
      <c r="D120" s="39"/>
      <c r="E120" s="40">
        <v>208309</v>
      </c>
      <c r="F120" s="41"/>
      <c r="G120" s="41"/>
      <c r="H120" s="41"/>
      <c r="I120" s="41"/>
      <c r="J120" s="41"/>
      <c r="K120" s="51"/>
      <c r="L120" s="41"/>
      <c r="M120" s="41"/>
      <c r="N120" s="41"/>
      <c r="O120" s="41"/>
      <c r="P120" s="41"/>
      <c r="Q120" s="41"/>
      <c r="R120" s="41"/>
      <c r="S120" s="41"/>
      <c r="T120" s="42">
        <f t="shared" si="71"/>
        <v>208309</v>
      </c>
      <c r="U120" s="43"/>
      <c r="V120" s="139">
        <v>208309</v>
      </c>
      <c r="W120" s="143" t="s">
        <v>368</v>
      </c>
      <c r="X120" s="143">
        <v>9</v>
      </c>
      <c r="Y120" s="171" t="s">
        <v>423</v>
      </c>
      <c r="Z120" s="171" t="s">
        <v>342</v>
      </c>
      <c r="AA120" s="44" t="s">
        <v>290</v>
      </c>
      <c r="AB120" s="188" t="s">
        <v>513</v>
      </c>
      <c r="AC120" s="10"/>
      <c r="AD120" s="13">
        <v>6249.2699999999995</v>
      </c>
      <c r="AE120" s="10"/>
      <c r="AF120" s="10"/>
      <c r="AG120" s="45"/>
      <c r="AH120" s="45"/>
      <c r="AI120" s="45"/>
      <c r="AJ120" s="41"/>
      <c r="AK120" s="45"/>
      <c r="AL120" s="45"/>
      <c r="AN120" s="128">
        <v>0</v>
      </c>
      <c r="AO120" s="45"/>
      <c r="AP120" s="46">
        <f t="shared" si="72"/>
        <v>214558.27</v>
      </c>
      <c r="AQ120" s="47"/>
      <c r="AW120" s="48">
        <f t="shared" si="73"/>
        <v>214558.27</v>
      </c>
      <c r="AX120" s="66"/>
      <c r="AY120" s="47">
        <f t="shared" si="65"/>
        <v>214558.27</v>
      </c>
      <c r="AZ120" s="47"/>
      <c r="BB120" s="47" t="e">
        <f>VLOOKUP($AA120,#REF!,3,0)*(+AY120+AZ120)</f>
        <v>#REF!</v>
      </c>
      <c r="BC120" s="47" t="e">
        <f>VLOOKUP($AB120,#REF!,3,0)*(+AY120+AZ120)</f>
        <v>#REF!</v>
      </c>
      <c r="BE120" s="47"/>
      <c r="BH120" s="47" t="e">
        <f t="shared" si="75"/>
        <v>#REF!</v>
      </c>
      <c r="BM120" s="47" t="e">
        <f t="shared" si="76"/>
        <v>#REF!</v>
      </c>
      <c r="BN120" s="66"/>
      <c r="BO120" s="47" t="e">
        <f t="shared" si="66"/>
        <v>#REF!</v>
      </c>
      <c r="BP120" s="47"/>
      <c r="BR120" s="47" t="e">
        <f>VLOOKUP($AA120,#REF!,4,0)*(+BO120+BP120)</f>
        <v>#REF!</v>
      </c>
      <c r="BS120" s="47" t="e">
        <f>VLOOKUP($AB120,#REF!,4,0)*(+BO120+BP120)</f>
        <v>#REF!</v>
      </c>
      <c r="BV120" s="47"/>
      <c r="BY120" s="47" t="e">
        <f t="shared" si="63"/>
        <v>#REF!</v>
      </c>
      <c r="CD120" s="47" t="e">
        <f t="shared" si="78"/>
        <v>#REF!</v>
      </c>
      <c r="CE120" s="66"/>
      <c r="CF120" s="47" t="e">
        <f t="shared" si="67"/>
        <v>#REF!</v>
      </c>
      <c r="CG120" s="47"/>
      <c r="CI120" s="47" t="e">
        <f>VLOOKUP($AA120,#REF!,5,0)*(+CF120+CG120)</f>
        <v>#REF!</v>
      </c>
      <c r="CJ120" s="47" t="e">
        <f>VLOOKUP($AB120,#REF!,5,0)*(+CF120+CG120)</f>
        <v>#REF!</v>
      </c>
      <c r="CM120" s="47"/>
      <c r="CO120" s="47" t="e">
        <f t="shared" si="80"/>
        <v>#REF!</v>
      </c>
      <c r="CT120" s="47" t="e">
        <f t="shared" si="81"/>
        <v>#REF!</v>
      </c>
      <c r="CU120" s="66"/>
      <c r="CV120" s="47" t="e">
        <f t="shared" si="68"/>
        <v>#REF!</v>
      </c>
      <c r="CW120" s="47"/>
      <c r="CY120" s="47" t="e">
        <f>VLOOKUP($AA120,#REF!,6,0)*(+CV120+CW120)</f>
        <v>#REF!</v>
      </c>
      <c r="CZ120" s="47" t="e">
        <f>VLOOKUP($AB120,#REF!,6,0)*(+CV120+CW120)</f>
        <v>#REF!</v>
      </c>
      <c r="DC120" s="47"/>
      <c r="DE120" s="47" t="e">
        <f t="shared" si="83"/>
        <v>#REF!</v>
      </c>
      <c r="DJ120" s="47" t="e">
        <f t="shared" si="84"/>
        <v>#REF!</v>
      </c>
      <c r="DK120" s="66"/>
      <c r="DL120" s="47" t="e">
        <f t="shared" si="59"/>
        <v>#REF!</v>
      </c>
      <c r="DM120" s="47"/>
      <c r="DO120" s="47" t="e">
        <f>VLOOKUP($AA120,#REF!,7,0)*(+DL120+DM120)</f>
        <v>#REF!</v>
      </c>
      <c r="DP120" s="47" t="e">
        <f>VLOOKUP($AB120,#REF!,7,0)*(+DL120+DM120)</f>
        <v>#REF!</v>
      </c>
      <c r="DS120" s="47"/>
      <c r="DU120" s="47" t="e">
        <f t="shared" si="61"/>
        <v>#REF!</v>
      </c>
      <c r="DZ120" s="47" t="e">
        <f t="shared" si="62"/>
        <v>#REF!</v>
      </c>
      <c r="EA120" s="66"/>
    </row>
    <row r="121" spans="1:131" x14ac:dyDescent="0.2">
      <c r="A121" s="38" t="s">
        <v>304</v>
      </c>
      <c r="B121" s="39" t="s">
        <v>29</v>
      </c>
      <c r="C121" s="39" t="s">
        <v>30</v>
      </c>
      <c r="D121" s="39"/>
      <c r="E121" s="40">
        <v>44010</v>
      </c>
      <c r="F121" s="41"/>
      <c r="G121" s="41"/>
      <c r="H121" s="41"/>
      <c r="I121" s="41"/>
      <c r="J121" s="41"/>
      <c r="K121" s="51"/>
      <c r="L121" s="41"/>
      <c r="M121" s="41"/>
      <c r="N121" s="41"/>
      <c r="O121" s="41"/>
      <c r="P121" s="41"/>
      <c r="Q121" s="41"/>
      <c r="R121" s="41"/>
      <c r="S121" s="41"/>
      <c r="T121" s="42">
        <f t="shared" si="71"/>
        <v>44010</v>
      </c>
      <c r="U121" s="43"/>
      <c r="V121" s="139">
        <v>44010</v>
      </c>
      <c r="W121" s="143" t="s">
        <v>368</v>
      </c>
      <c r="X121" s="143">
        <v>9</v>
      </c>
      <c r="Y121" s="171" t="s">
        <v>423</v>
      </c>
      <c r="Z121" s="171" t="s">
        <v>342</v>
      </c>
      <c r="AA121" s="44" t="s">
        <v>290</v>
      </c>
      <c r="AB121" s="188" t="s">
        <v>513</v>
      </c>
      <c r="AC121" s="10"/>
      <c r="AD121" s="13">
        <v>1320.3</v>
      </c>
      <c r="AE121" s="10"/>
      <c r="AF121" s="10"/>
      <c r="AG121" s="45"/>
      <c r="AH121" s="45"/>
      <c r="AI121" s="45"/>
      <c r="AJ121" s="41"/>
      <c r="AK121" s="45"/>
      <c r="AL121" s="45"/>
      <c r="AN121" s="128">
        <v>0</v>
      </c>
      <c r="AO121" s="45"/>
      <c r="AP121" s="46">
        <f t="shared" si="72"/>
        <v>45330.3</v>
      </c>
      <c r="AQ121" s="47"/>
      <c r="AW121" s="48">
        <f t="shared" si="73"/>
        <v>45330.3</v>
      </c>
      <c r="AX121" s="66"/>
      <c r="AY121" s="47">
        <f t="shared" si="65"/>
        <v>45330.3</v>
      </c>
      <c r="AZ121" s="47"/>
      <c r="BB121" s="47" t="e">
        <f>VLOOKUP($AA121,#REF!,3,0)*(+AY121+AZ121)</f>
        <v>#REF!</v>
      </c>
      <c r="BC121" s="47" t="e">
        <f>VLOOKUP($AB121,#REF!,3,0)*(+AY121+AZ121)</f>
        <v>#REF!</v>
      </c>
      <c r="BE121" s="47"/>
      <c r="BH121" s="47" t="e">
        <f t="shared" si="75"/>
        <v>#REF!</v>
      </c>
      <c r="BM121" s="47" t="e">
        <f t="shared" si="76"/>
        <v>#REF!</v>
      </c>
      <c r="BN121" s="66"/>
      <c r="BO121" s="47" t="e">
        <f t="shared" si="66"/>
        <v>#REF!</v>
      </c>
      <c r="BP121" s="47"/>
      <c r="BR121" s="47" t="e">
        <f>VLOOKUP($AA121,#REF!,4,0)*(+BO121+BP121)</f>
        <v>#REF!</v>
      </c>
      <c r="BS121" s="47" t="e">
        <f>VLOOKUP($AB121,#REF!,4,0)*(+BO121+BP121)</f>
        <v>#REF!</v>
      </c>
      <c r="BV121" s="47"/>
      <c r="BY121" s="47" t="e">
        <f t="shared" si="63"/>
        <v>#REF!</v>
      </c>
      <c r="CD121" s="47" t="e">
        <f t="shared" si="78"/>
        <v>#REF!</v>
      </c>
      <c r="CE121" s="66"/>
      <c r="CF121" s="47" t="e">
        <f t="shared" si="67"/>
        <v>#REF!</v>
      </c>
      <c r="CG121" s="47"/>
      <c r="CI121" s="47" t="e">
        <f>VLOOKUP($AA121,#REF!,5,0)*(+CF121+CG121)</f>
        <v>#REF!</v>
      </c>
      <c r="CJ121" s="47" t="e">
        <f>VLOOKUP($AB121,#REF!,5,0)*(+CF121+CG121)</f>
        <v>#REF!</v>
      </c>
      <c r="CM121" s="47"/>
      <c r="CO121" s="47" t="e">
        <f t="shared" si="80"/>
        <v>#REF!</v>
      </c>
      <c r="CT121" s="47" t="e">
        <f t="shared" si="81"/>
        <v>#REF!</v>
      </c>
      <c r="CU121" s="66"/>
      <c r="CV121" s="47" t="e">
        <f t="shared" si="68"/>
        <v>#REF!</v>
      </c>
      <c r="CW121" s="47"/>
      <c r="CY121" s="47" t="e">
        <f>VLOOKUP($AA121,#REF!,6,0)*(+CV121+CW121)</f>
        <v>#REF!</v>
      </c>
      <c r="CZ121" s="47" t="e">
        <f>VLOOKUP($AB121,#REF!,6,0)*(+CV121+CW121)</f>
        <v>#REF!</v>
      </c>
      <c r="DC121" s="47"/>
      <c r="DE121" s="47" t="e">
        <f t="shared" si="83"/>
        <v>#REF!</v>
      </c>
      <c r="DJ121" s="47" t="e">
        <f t="shared" si="84"/>
        <v>#REF!</v>
      </c>
      <c r="DK121" s="66"/>
      <c r="DL121" s="47" t="e">
        <f t="shared" si="59"/>
        <v>#REF!</v>
      </c>
      <c r="DM121" s="47"/>
      <c r="DO121" s="47" t="e">
        <f>VLOOKUP($AA121,#REF!,7,0)*(+DL121+DM121)</f>
        <v>#REF!</v>
      </c>
      <c r="DP121" s="47" t="e">
        <f>VLOOKUP($AB121,#REF!,7,0)*(+DL121+DM121)</f>
        <v>#REF!</v>
      </c>
      <c r="DS121" s="47"/>
      <c r="DU121" s="47" t="e">
        <f t="shared" si="61"/>
        <v>#REF!</v>
      </c>
      <c r="DZ121" s="47" t="e">
        <f t="shared" si="62"/>
        <v>#REF!</v>
      </c>
      <c r="EA121" s="66"/>
    </row>
    <row r="122" spans="1:131" x14ac:dyDescent="0.2">
      <c r="A122" s="38" t="s">
        <v>304</v>
      </c>
      <c r="B122" s="39" t="s">
        <v>31</v>
      </c>
      <c r="C122" s="39" t="s">
        <v>32</v>
      </c>
      <c r="D122" s="39"/>
      <c r="E122" s="40">
        <v>0</v>
      </c>
      <c r="F122" s="41"/>
      <c r="G122" s="41"/>
      <c r="H122" s="41"/>
      <c r="I122" s="41"/>
      <c r="J122" s="41"/>
      <c r="K122" s="51"/>
      <c r="L122" s="41"/>
      <c r="M122" s="41"/>
      <c r="N122" s="41"/>
      <c r="O122" s="41"/>
      <c r="P122" s="41"/>
      <c r="Q122" s="41"/>
      <c r="R122" s="41"/>
      <c r="S122" s="41"/>
      <c r="T122" s="42">
        <f t="shared" si="71"/>
        <v>0</v>
      </c>
      <c r="U122" s="43"/>
      <c r="V122" s="139">
        <v>0</v>
      </c>
      <c r="W122" s="143" t="s">
        <v>368</v>
      </c>
      <c r="X122" s="143">
        <v>9</v>
      </c>
      <c r="Y122" s="171" t="s">
        <v>423</v>
      </c>
      <c r="Z122" s="171" t="s">
        <v>342</v>
      </c>
      <c r="AA122" s="44" t="s">
        <v>290</v>
      </c>
      <c r="AB122" s="188" t="s">
        <v>513</v>
      </c>
      <c r="AC122" s="10"/>
      <c r="AD122" s="13">
        <v>0</v>
      </c>
      <c r="AE122" s="10"/>
      <c r="AF122" s="10"/>
      <c r="AG122" s="45"/>
      <c r="AH122" s="45"/>
      <c r="AI122" s="45"/>
      <c r="AJ122" s="41"/>
      <c r="AK122" s="45"/>
      <c r="AL122" s="45"/>
      <c r="AN122" s="128">
        <v>0</v>
      </c>
      <c r="AO122" s="45"/>
      <c r="AP122" s="46">
        <f t="shared" si="72"/>
        <v>0</v>
      </c>
      <c r="AQ122" s="47"/>
      <c r="AW122" s="48">
        <f t="shared" si="73"/>
        <v>0</v>
      </c>
      <c r="AX122" s="66"/>
      <c r="AY122" s="47">
        <f t="shared" si="65"/>
        <v>0</v>
      </c>
      <c r="AZ122" s="47"/>
      <c r="BB122" s="47" t="e">
        <f>VLOOKUP($AA122,#REF!,3,0)*(+AY122+AZ122)</f>
        <v>#REF!</v>
      </c>
      <c r="BC122" s="47" t="e">
        <f>VLOOKUP($AB122,#REF!,3,0)*(+AY122+AZ122)</f>
        <v>#REF!</v>
      </c>
      <c r="BE122" s="47"/>
      <c r="BH122" s="47" t="e">
        <f t="shared" si="75"/>
        <v>#REF!</v>
      </c>
      <c r="BM122" s="47" t="e">
        <f t="shared" si="76"/>
        <v>#REF!</v>
      </c>
      <c r="BN122" s="66"/>
      <c r="BO122" s="47" t="e">
        <f t="shared" si="66"/>
        <v>#REF!</v>
      </c>
      <c r="BP122" s="47"/>
      <c r="BR122" s="47" t="e">
        <f>VLOOKUP($AA122,#REF!,4,0)*(+BO122+BP122)</f>
        <v>#REF!</v>
      </c>
      <c r="BS122" s="47" t="e">
        <f>VLOOKUP($AB122,#REF!,4,0)*(+BO122+BP122)</f>
        <v>#REF!</v>
      </c>
      <c r="BV122" s="47"/>
      <c r="BY122" s="47" t="e">
        <f t="shared" si="63"/>
        <v>#REF!</v>
      </c>
      <c r="CD122" s="47" t="e">
        <f t="shared" si="78"/>
        <v>#REF!</v>
      </c>
      <c r="CE122" s="66"/>
      <c r="CF122" s="47" t="e">
        <f t="shared" si="67"/>
        <v>#REF!</v>
      </c>
      <c r="CG122" s="47"/>
      <c r="CI122" s="47" t="e">
        <f>VLOOKUP($AA122,#REF!,5,0)*(+CF122+CG122)</f>
        <v>#REF!</v>
      </c>
      <c r="CJ122" s="47" t="e">
        <f>VLOOKUP($AB122,#REF!,5,0)*(+CF122+CG122)</f>
        <v>#REF!</v>
      </c>
      <c r="CM122" s="47"/>
      <c r="CO122" s="47" t="e">
        <f t="shared" si="80"/>
        <v>#REF!</v>
      </c>
      <c r="CT122" s="47" t="e">
        <f t="shared" si="81"/>
        <v>#REF!</v>
      </c>
      <c r="CU122" s="66"/>
      <c r="CV122" s="47" t="e">
        <f t="shared" si="68"/>
        <v>#REF!</v>
      </c>
      <c r="CW122" s="47"/>
      <c r="CY122" s="47" t="e">
        <f>VLOOKUP($AA122,#REF!,6,0)*(+CV122+CW122)</f>
        <v>#REF!</v>
      </c>
      <c r="CZ122" s="47" t="e">
        <f>VLOOKUP($AB122,#REF!,6,0)*(+CV122+CW122)</f>
        <v>#REF!</v>
      </c>
      <c r="DC122" s="47"/>
      <c r="DE122" s="47" t="e">
        <f t="shared" si="83"/>
        <v>#REF!</v>
      </c>
      <c r="DJ122" s="47" t="e">
        <f t="shared" si="84"/>
        <v>#REF!</v>
      </c>
      <c r="DK122" s="66"/>
      <c r="DL122" s="47" t="e">
        <f t="shared" si="59"/>
        <v>#REF!</v>
      </c>
      <c r="DM122" s="47"/>
      <c r="DO122" s="47" t="e">
        <f>VLOOKUP($AA122,#REF!,7,0)*(+DL122+DM122)</f>
        <v>#REF!</v>
      </c>
      <c r="DP122" s="47" t="e">
        <f>VLOOKUP($AB122,#REF!,7,0)*(+DL122+DM122)</f>
        <v>#REF!</v>
      </c>
      <c r="DS122" s="47"/>
      <c r="DU122" s="47" t="e">
        <f t="shared" si="61"/>
        <v>#REF!</v>
      </c>
      <c r="DZ122" s="47" t="e">
        <f t="shared" si="62"/>
        <v>#REF!</v>
      </c>
      <c r="EA122" s="66"/>
    </row>
    <row r="123" spans="1:131" x14ac:dyDescent="0.2">
      <c r="A123" s="38" t="s">
        <v>304</v>
      </c>
      <c r="B123" s="39" t="s">
        <v>33</v>
      </c>
      <c r="C123" s="39" t="s">
        <v>34</v>
      </c>
      <c r="D123" s="39"/>
      <c r="E123" s="40">
        <v>20055</v>
      </c>
      <c r="F123" s="41"/>
      <c r="G123" s="41"/>
      <c r="H123" s="41"/>
      <c r="I123" s="41"/>
      <c r="J123" s="41"/>
      <c r="K123" s="51"/>
      <c r="L123" s="41"/>
      <c r="M123" s="41"/>
      <c r="N123" s="41"/>
      <c r="O123" s="41"/>
      <c r="P123" s="41"/>
      <c r="Q123" s="41"/>
      <c r="R123" s="41"/>
      <c r="S123" s="41"/>
      <c r="T123" s="42">
        <f t="shared" si="71"/>
        <v>20055</v>
      </c>
      <c r="U123" s="43"/>
      <c r="V123" s="139">
        <v>20055</v>
      </c>
      <c r="W123" s="143" t="s">
        <v>368</v>
      </c>
      <c r="X123" s="143">
        <v>9</v>
      </c>
      <c r="Y123" s="171" t="s">
        <v>423</v>
      </c>
      <c r="Z123" s="171" t="s">
        <v>342</v>
      </c>
      <c r="AA123" s="44" t="s">
        <v>290</v>
      </c>
      <c r="AB123" s="188" t="s">
        <v>513</v>
      </c>
      <c r="AC123" s="10"/>
      <c r="AD123" s="13">
        <v>601.65</v>
      </c>
      <c r="AE123" s="10"/>
      <c r="AF123" s="10"/>
      <c r="AG123" s="45"/>
      <c r="AH123" s="45"/>
      <c r="AI123" s="45"/>
      <c r="AJ123" s="41"/>
      <c r="AK123" s="45"/>
      <c r="AL123" s="45"/>
      <c r="AN123" s="128">
        <v>0</v>
      </c>
      <c r="AO123" s="45"/>
      <c r="AP123" s="46">
        <f t="shared" si="72"/>
        <v>20656.650000000001</v>
      </c>
      <c r="AQ123" s="47"/>
      <c r="AW123" s="48">
        <f t="shared" si="73"/>
        <v>20656.650000000001</v>
      </c>
      <c r="AX123" s="66"/>
      <c r="AY123" s="47">
        <f t="shared" si="65"/>
        <v>20656.650000000001</v>
      </c>
      <c r="AZ123" s="244">
        <v>-20657</v>
      </c>
      <c r="BB123" s="47" t="e">
        <f>VLOOKUP($AA123,#REF!,3,0)*(+AY123+AZ123)</f>
        <v>#REF!</v>
      </c>
      <c r="BC123" s="47" t="e">
        <f>VLOOKUP($AB123,#REF!,3,0)*(+AY123+AZ123)</f>
        <v>#REF!</v>
      </c>
      <c r="BE123" s="47"/>
      <c r="BH123" s="47" t="e">
        <f t="shared" si="75"/>
        <v>#REF!</v>
      </c>
      <c r="BM123" s="47" t="e">
        <f t="shared" si="76"/>
        <v>#REF!</v>
      </c>
      <c r="BN123" s="66"/>
      <c r="BO123" s="47" t="e">
        <f t="shared" si="66"/>
        <v>#REF!</v>
      </c>
      <c r="BP123" s="47"/>
      <c r="BR123" s="47" t="e">
        <f>VLOOKUP($AA123,#REF!,4,0)*(+BO123+BP123)</f>
        <v>#REF!</v>
      </c>
      <c r="BS123" s="47" t="e">
        <f>VLOOKUP($AB123,#REF!,4,0)*(+BO123+BP123)</f>
        <v>#REF!</v>
      </c>
      <c r="BV123" s="47"/>
      <c r="BY123" s="47" t="e">
        <f t="shared" si="63"/>
        <v>#REF!</v>
      </c>
      <c r="CD123" s="47" t="e">
        <f t="shared" si="78"/>
        <v>#REF!</v>
      </c>
      <c r="CE123" s="66"/>
      <c r="CF123" s="47" t="e">
        <f t="shared" si="67"/>
        <v>#REF!</v>
      </c>
      <c r="CG123" s="47"/>
      <c r="CI123" s="47" t="e">
        <f>VLOOKUP($AA123,#REF!,5,0)*(+CF123+CG123)</f>
        <v>#REF!</v>
      </c>
      <c r="CJ123" s="47" t="e">
        <f>VLOOKUP($AB123,#REF!,5,0)*(+CF123+CG123)</f>
        <v>#REF!</v>
      </c>
      <c r="CM123" s="47"/>
      <c r="CO123" s="47" t="e">
        <f t="shared" si="80"/>
        <v>#REF!</v>
      </c>
      <c r="CT123" s="47" t="e">
        <f t="shared" si="81"/>
        <v>#REF!</v>
      </c>
      <c r="CU123" s="66"/>
      <c r="CV123" s="47" t="e">
        <f t="shared" si="68"/>
        <v>#REF!</v>
      </c>
      <c r="CW123" s="47"/>
      <c r="CY123" s="47" t="e">
        <f>VLOOKUP($AA123,#REF!,6,0)*(+CV123+CW123)</f>
        <v>#REF!</v>
      </c>
      <c r="CZ123" s="47" t="e">
        <f>VLOOKUP($AB123,#REF!,6,0)*(+CV123+CW123)</f>
        <v>#REF!</v>
      </c>
      <c r="DC123" s="47"/>
      <c r="DE123" s="47" t="e">
        <f t="shared" si="83"/>
        <v>#REF!</v>
      </c>
      <c r="DJ123" s="47" t="e">
        <f t="shared" si="84"/>
        <v>#REF!</v>
      </c>
      <c r="DK123" s="66"/>
      <c r="DL123" s="47" t="e">
        <f t="shared" si="59"/>
        <v>#REF!</v>
      </c>
      <c r="DM123" s="47"/>
      <c r="DO123" s="47" t="e">
        <f>VLOOKUP($AA123,#REF!,7,0)*(+DL123+DM123)</f>
        <v>#REF!</v>
      </c>
      <c r="DP123" s="47" t="e">
        <f>VLOOKUP($AB123,#REF!,7,0)*(+DL123+DM123)</f>
        <v>#REF!</v>
      </c>
      <c r="DS123" s="47"/>
      <c r="DU123" s="47" t="e">
        <f t="shared" si="61"/>
        <v>#REF!</v>
      </c>
      <c r="DZ123" s="47" t="e">
        <f t="shared" si="62"/>
        <v>#REF!</v>
      </c>
      <c r="EA123" s="66"/>
    </row>
    <row r="124" spans="1:131" x14ac:dyDescent="0.2">
      <c r="A124" s="38" t="s">
        <v>304</v>
      </c>
      <c r="B124" s="39" t="s">
        <v>35</v>
      </c>
      <c r="C124" s="39" t="s">
        <v>36</v>
      </c>
      <c r="D124" s="39"/>
      <c r="E124" s="40">
        <v>47837</v>
      </c>
      <c r="F124" s="41"/>
      <c r="G124" s="41"/>
      <c r="H124" s="41"/>
      <c r="I124" s="41"/>
      <c r="J124" s="41"/>
      <c r="K124" s="51"/>
      <c r="L124" s="41"/>
      <c r="M124" s="41"/>
      <c r="N124" s="41"/>
      <c r="O124" s="41"/>
      <c r="P124" s="41"/>
      <c r="Q124" s="41"/>
      <c r="R124" s="41"/>
      <c r="S124" s="41"/>
      <c r="T124" s="42">
        <f t="shared" si="71"/>
        <v>47837</v>
      </c>
      <c r="U124" s="43"/>
      <c r="V124" s="139">
        <v>47837</v>
      </c>
      <c r="W124" s="143" t="s">
        <v>368</v>
      </c>
      <c r="X124" s="143">
        <v>9</v>
      </c>
      <c r="Y124" s="171" t="s">
        <v>423</v>
      </c>
      <c r="Z124" s="171" t="s">
        <v>342</v>
      </c>
      <c r="AA124" s="44" t="s">
        <v>290</v>
      </c>
      <c r="AB124" s="188" t="s">
        <v>513</v>
      </c>
      <c r="AC124" s="10"/>
      <c r="AD124" s="13">
        <v>1435.11</v>
      </c>
      <c r="AE124" s="10"/>
      <c r="AF124" s="10"/>
      <c r="AG124" s="45"/>
      <c r="AH124" s="45"/>
      <c r="AI124" s="45"/>
      <c r="AJ124" s="41"/>
      <c r="AK124" s="45"/>
      <c r="AL124" s="45"/>
      <c r="AN124" s="128">
        <v>0</v>
      </c>
      <c r="AO124" s="45"/>
      <c r="AP124" s="46">
        <f t="shared" si="72"/>
        <v>49272.11</v>
      </c>
      <c r="AQ124" s="47"/>
      <c r="AW124" s="48">
        <f t="shared" si="73"/>
        <v>49272.11</v>
      </c>
      <c r="AX124" s="66"/>
      <c r="AY124" s="47">
        <f t="shared" si="65"/>
        <v>49272.11</v>
      </c>
      <c r="AZ124" s="47"/>
      <c r="BB124" s="47" t="e">
        <f>VLOOKUP($AA124,#REF!,3,0)*(+AY124+AZ124)</f>
        <v>#REF!</v>
      </c>
      <c r="BC124" s="47" t="e">
        <f>VLOOKUP($AB124,#REF!,3,0)*(+AY124+AZ124)</f>
        <v>#REF!</v>
      </c>
      <c r="BE124" s="47"/>
      <c r="BH124" s="47" t="e">
        <f t="shared" si="75"/>
        <v>#REF!</v>
      </c>
      <c r="BM124" s="47" t="e">
        <f t="shared" si="76"/>
        <v>#REF!</v>
      </c>
      <c r="BN124" s="66"/>
      <c r="BO124" s="47" t="e">
        <f t="shared" si="66"/>
        <v>#REF!</v>
      </c>
      <c r="BP124" s="47"/>
      <c r="BR124" s="47" t="e">
        <f>VLOOKUP($AA124,#REF!,4,0)*(+BO124+BP124)</f>
        <v>#REF!</v>
      </c>
      <c r="BS124" s="47" t="e">
        <f>VLOOKUP($AB124,#REF!,4,0)*(+BO124+BP124)</f>
        <v>#REF!</v>
      </c>
      <c r="BV124" s="47"/>
      <c r="BY124" s="47" t="e">
        <f t="shared" si="63"/>
        <v>#REF!</v>
      </c>
      <c r="CD124" s="47" t="e">
        <f t="shared" si="78"/>
        <v>#REF!</v>
      </c>
      <c r="CE124" s="66"/>
      <c r="CF124" s="47" t="e">
        <f t="shared" si="67"/>
        <v>#REF!</v>
      </c>
      <c r="CG124" s="47"/>
      <c r="CI124" s="47" t="e">
        <f>VLOOKUP($AA124,#REF!,5,0)*(+CF124+CG124)</f>
        <v>#REF!</v>
      </c>
      <c r="CJ124" s="47" t="e">
        <f>VLOOKUP($AB124,#REF!,5,0)*(+CF124+CG124)</f>
        <v>#REF!</v>
      </c>
      <c r="CM124" s="47"/>
      <c r="CO124" s="47" t="e">
        <f t="shared" si="80"/>
        <v>#REF!</v>
      </c>
      <c r="CT124" s="47" t="e">
        <f t="shared" si="81"/>
        <v>#REF!</v>
      </c>
      <c r="CU124" s="66"/>
      <c r="CV124" s="47" t="e">
        <f t="shared" si="68"/>
        <v>#REF!</v>
      </c>
      <c r="CW124" s="47"/>
      <c r="CY124" s="47" t="e">
        <f>VLOOKUP($AA124,#REF!,6,0)*(+CV124+CW124)</f>
        <v>#REF!</v>
      </c>
      <c r="CZ124" s="47" t="e">
        <f>VLOOKUP($AB124,#REF!,6,0)*(+CV124+CW124)</f>
        <v>#REF!</v>
      </c>
      <c r="DC124" s="47"/>
      <c r="DE124" s="47" t="e">
        <f t="shared" si="83"/>
        <v>#REF!</v>
      </c>
      <c r="DJ124" s="47" t="e">
        <f t="shared" si="84"/>
        <v>#REF!</v>
      </c>
      <c r="DK124" s="66"/>
      <c r="DL124" s="47" t="e">
        <f t="shared" ref="DL124:DL177" si="86">+DE124-CX124</f>
        <v>#REF!</v>
      </c>
      <c r="DM124" s="47"/>
      <c r="DO124" s="47" t="e">
        <f>VLOOKUP($AA124,#REF!,7,0)*(+DL124+DM124)</f>
        <v>#REF!</v>
      </c>
      <c r="DP124" s="47" t="e">
        <f>VLOOKUP($AB124,#REF!,7,0)*(+DL124+DM124)</f>
        <v>#REF!</v>
      </c>
      <c r="DS124" s="47"/>
      <c r="DU124" s="47" t="e">
        <f t="shared" ref="DU124:DU177" si="87">SUM(DL124:DT124)</f>
        <v>#REF!</v>
      </c>
      <c r="DZ124" s="47" t="e">
        <f t="shared" ref="DZ124:DZ178" si="88">SUM(DU124:DY124)</f>
        <v>#REF!</v>
      </c>
      <c r="EA124" s="66"/>
    </row>
    <row r="125" spans="1:131" x14ac:dyDescent="0.2">
      <c r="A125" s="38" t="s">
        <v>304</v>
      </c>
      <c r="B125" s="39" t="s">
        <v>37</v>
      </c>
      <c r="C125" s="39" t="s">
        <v>38</v>
      </c>
      <c r="D125" s="39"/>
      <c r="E125" s="40">
        <v>78065</v>
      </c>
      <c r="F125" s="41"/>
      <c r="G125" s="41"/>
      <c r="H125" s="41"/>
      <c r="I125" s="41"/>
      <c r="J125" s="41"/>
      <c r="K125" s="51"/>
      <c r="L125" s="41"/>
      <c r="M125" s="41"/>
      <c r="N125" s="41"/>
      <c r="O125" s="41"/>
      <c r="P125" s="41"/>
      <c r="Q125" s="41"/>
      <c r="R125" s="41"/>
      <c r="S125" s="41"/>
      <c r="T125" s="42">
        <f t="shared" si="71"/>
        <v>78065</v>
      </c>
      <c r="U125" s="43"/>
      <c r="V125" s="139">
        <v>78065</v>
      </c>
      <c r="W125" s="143" t="s">
        <v>368</v>
      </c>
      <c r="X125" s="143">
        <v>9</v>
      </c>
      <c r="Y125" s="171" t="s">
        <v>423</v>
      </c>
      <c r="Z125" s="171" t="s">
        <v>342</v>
      </c>
      <c r="AA125" s="44" t="s">
        <v>290</v>
      </c>
      <c r="AB125" s="188" t="s">
        <v>513</v>
      </c>
      <c r="AC125" s="10"/>
      <c r="AD125" s="13">
        <v>2341.9499999999998</v>
      </c>
      <c r="AE125" s="10"/>
      <c r="AF125" s="10"/>
      <c r="AG125" s="45"/>
      <c r="AH125" s="45"/>
      <c r="AI125" s="45"/>
      <c r="AJ125" s="41"/>
      <c r="AK125" s="45"/>
      <c r="AL125" s="45"/>
      <c r="AN125" s="128">
        <v>0</v>
      </c>
      <c r="AO125" s="45"/>
      <c r="AP125" s="46">
        <f t="shared" si="72"/>
        <v>80406.95</v>
      </c>
      <c r="AQ125" s="47"/>
      <c r="AW125" s="48">
        <f t="shared" si="73"/>
        <v>80406.95</v>
      </c>
      <c r="AX125" s="66"/>
      <c r="AY125" s="47">
        <f t="shared" si="65"/>
        <v>80406.95</v>
      </c>
      <c r="AZ125" s="47"/>
      <c r="BB125" s="47" t="e">
        <f>VLOOKUP($AA125,#REF!,3,0)*(+AY125+AZ125)</f>
        <v>#REF!</v>
      </c>
      <c r="BC125" s="47" t="e">
        <f>VLOOKUP($AB125,#REF!,3,0)*(+AY125+AZ125)</f>
        <v>#REF!</v>
      </c>
      <c r="BE125" s="47"/>
      <c r="BH125" s="47" t="e">
        <f t="shared" si="75"/>
        <v>#REF!</v>
      </c>
      <c r="BM125" s="47" t="e">
        <f t="shared" si="76"/>
        <v>#REF!</v>
      </c>
      <c r="BN125" s="66"/>
      <c r="BO125" s="47" t="e">
        <f t="shared" si="66"/>
        <v>#REF!</v>
      </c>
      <c r="BP125" s="47"/>
      <c r="BR125" s="47" t="e">
        <f>VLOOKUP($AA125,#REF!,4,0)*(+BO125+BP125)</f>
        <v>#REF!</v>
      </c>
      <c r="BS125" s="47" t="e">
        <f>VLOOKUP($AB125,#REF!,4,0)*(+BO125+BP125)</f>
        <v>#REF!</v>
      </c>
      <c r="BV125" s="47"/>
      <c r="BY125" s="47" t="e">
        <f t="shared" si="63"/>
        <v>#REF!</v>
      </c>
      <c r="CD125" s="47" t="e">
        <f t="shared" si="78"/>
        <v>#REF!</v>
      </c>
      <c r="CE125" s="66"/>
      <c r="CF125" s="47" t="e">
        <f t="shared" si="67"/>
        <v>#REF!</v>
      </c>
      <c r="CG125" s="47"/>
      <c r="CI125" s="47" t="e">
        <f>VLOOKUP($AA125,#REF!,5,0)*(+CF125+CG125)</f>
        <v>#REF!</v>
      </c>
      <c r="CJ125" s="47" t="e">
        <f>VLOOKUP($AB125,#REF!,5,0)*(+CF125+CG125)</f>
        <v>#REF!</v>
      </c>
      <c r="CM125" s="47"/>
      <c r="CO125" s="47" t="e">
        <f t="shared" si="80"/>
        <v>#REF!</v>
      </c>
      <c r="CT125" s="47" t="e">
        <f t="shared" si="81"/>
        <v>#REF!</v>
      </c>
      <c r="CU125" s="66"/>
      <c r="CV125" s="47" t="e">
        <f t="shared" si="68"/>
        <v>#REF!</v>
      </c>
      <c r="CW125" s="47"/>
      <c r="CY125" s="47" t="e">
        <f>VLOOKUP($AA125,#REF!,6,0)*(+CV125+CW125)</f>
        <v>#REF!</v>
      </c>
      <c r="CZ125" s="47" t="e">
        <f>VLOOKUP($AB125,#REF!,6,0)*(+CV125+CW125)</f>
        <v>#REF!</v>
      </c>
      <c r="DC125" s="47"/>
      <c r="DE125" s="47" t="e">
        <f t="shared" si="83"/>
        <v>#REF!</v>
      </c>
      <c r="DJ125" s="47" t="e">
        <f t="shared" si="84"/>
        <v>#REF!</v>
      </c>
      <c r="DK125" s="66"/>
      <c r="DL125" s="47" t="e">
        <f t="shared" si="86"/>
        <v>#REF!</v>
      </c>
      <c r="DM125" s="47"/>
      <c r="DO125" s="47" t="e">
        <f>VLOOKUP($AA125,#REF!,7,0)*(+DL125+DM125)</f>
        <v>#REF!</v>
      </c>
      <c r="DP125" s="47" t="e">
        <f>VLOOKUP($AB125,#REF!,7,0)*(+DL125+DM125)</f>
        <v>#REF!</v>
      </c>
      <c r="DS125" s="47"/>
      <c r="DU125" s="47" t="e">
        <f t="shared" si="87"/>
        <v>#REF!</v>
      </c>
      <c r="DZ125" s="47" t="e">
        <f t="shared" si="88"/>
        <v>#REF!</v>
      </c>
      <c r="EA125" s="66"/>
    </row>
    <row r="126" spans="1:131" x14ac:dyDescent="0.2">
      <c r="A126" s="38" t="s">
        <v>371</v>
      </c>
      <c r="B126" s="39" t="s">
        <v>39</v>
      </c>
      <c r="C126" s="39" t="s">
        <v>40</v>
      </c>
      <c r="D126" s="39"/>
      <c r="E126" s="40">
        <v>1833895</v>
      </c>
      <c r="F126" s="41"/>
      <c r="G126" s="41"/>
      <c r="H126" s="41"/>
      <c r="I126" s="41"/>
      <c r="J126" s="41"/>
      <c r="K126" s="51"/>
      <c r="L126" s="41"/>
      <c r="M126" s="41"/>
      <c r="N126" s="41"/>
      <c r="O126" s="41"/>
      <c r="P126" s="41"/>
      <c r="Q126" s="41"/>
      <c r="R126" s="41"/>
      <c r="S126" s="41"/>
      <c r="T126" s="42">
        <f t="shared" si="71"/>
        <v>1833895</v>
      </c>
      <c r="U126" s="43"/>
      <c r="V126" s="139">
        <v>1833895</v>
      </c>
      <c r="W126" s="143" t="s">
        <v>368</v>
      </c>
      <c r="X126" s="143">
        <v>10</v>
      </c>
      <c r="Y126" s="171" t="s">
        <v>423</v>
      </c>
      <c r="Z126" s="171" t="s">
        <v>342</v>
      </c>
      <c r="AA126" s="44" t="s">
        <v>290</v>
      </c>
      <c r="AB126" s="188" t="s">
        <v>513</v>
      </c>
      <c r="AC126" s="10"/>
      <c r="AD126" s="13">
        <v>36677.9</v>
      </c>
      <c r="AE126" s="10"/>
      <c r="AF126" s="10"/>
      <c r="AG126" s="45"/>
      <c r="AH126" s="45"/>
      <c r="AI126" s="45"/>
      <c r="AJ126" s="41"/>
      <c r="AK126" s="45"/>
      <c r="AL126" s="45"/>
      <c r="AN126" s="245">
        <v>-1132000</v>
      </c>
      <c r="AO126" s="45"/>
      <c r="AP126" s="46">
        <f t="shared" si="72"/>
        <v>738572.89999999991</v>
      </c>
      <c r="AQ126" s="47"/>
      <c r="AW126" s="48">
        <f t="shared" si="73"/>
        <v>738572.89999999991</v>
      </c>
      <c r="AX126" s="66"/>
      <c r="AY126" s="47">
        <f t="shared" si="65"/>
        <v>738572.89999999991</v>
      </c>
      <c r="AZ126" s="47"/>
      <c r="BB126" s="47" t="e">
        <f>VLOOKUP($AA126,#REF!,3,0)*(+AY126+AZ126)</f>
        <v>#REF!</v>
      </c>
      <c r="BC126" s="47" t="e">
        <f>VLOOKUP($AB126,#REF!,3,0)*(+AY126+AZ126)</f>
        <v>#REF!</v>
      </c>
      <c r="BE126" s="47"/>
      <c r="BH126" s="47" t="e">
        <f t="shared" si="75"/>
        <v>#REF!</v>
      </c>
      <c r="BM126" s="47" t="e">
        <f t="shared" si="76"/>
        <v>#REF!</v>
      </c>
      <c r="BN126" s="66"/>
      <c r="BO126" s="47" t="e">
        <f t="shared" si="66"/>
        <v>#REF!</v>
      </c>
      <c r="BP126" s="47"/>
      <c r="BR126" s="47" t="e">
        <f>VLOOKUP($AA126,#REF!,4,0)*(+BO126+BP126)</f>
        <v>#REF!</v>
      </c>
      <c r="BS126" s="47" t="e">
        <f>VLOOKUP($AB126,#REF!,4,0)*(+BO126+BP126)</f>
        <v>#REF!</v>
      </c>
      <c r="BV126" s="47"/>
      <c r="BY126" s="47" t="e">
        <f t="shared" si="63"/>
        <v>#REF!</v>
      </c>
      <c r="CD126" s="47" t="e">
        <f t="shared" si="78"/>
        <v>#REF!</v>
      </c>
      <c r="CE126" s="66"/>
      <c r="CF126" s="47" t="e">
        <f t="shared" si="67"/>
        <v>#REF!</v>
      </c>
      <c r="CG126" s="47"/>
      <c r="CI126" s="47" t="e">
        <f>VLOOKUP($AA126,#REF!,5,0)*(+CF126+CG126)</f>
        <v>#REF!</v>
      </c>
      <c r="CJ126" s="47" t="e">
        <f>VLOOKUP($AB126,#REF!,5,0)*(+CF126+CG126)</f>
        <v>#REF!</v>
      </c>
      <c r="CM126" s="47"/>
      <c r="CO126" s="47" t="e">
        <f t="shared" si="80"/>
        <v>#REF!</v>
      </c>
      <c r="CT126" s="47" t="e">
        <f t="shared" si="81"/>
        <v>#REF!</v>
      </c>
      <c r="CU126" s="66"/>
      <c r="CV126" s="47" t="e">
        <f t="shared" si="68"/>
        <v>#REF!</v>
      </c>
      <c r="CW126" s="47"/>
      <c r="CY126" s="47" t="e">
        <f>VLOOKUP($AA126,#REF!,6,0)*(+CV126+CW126)</f>
        <v>#REF!</v>
      </c>
      <c r="CZ126" s="47" t="e">
        <f>VLOOKUP($AB126,#REF!,6,0)*(+CV126+CW126)</f>
        <v>#REF!</v>
      </c>
      <c r="DC126" s="47"/>
      <c r="DE126" s="47" t="e">
        <f t="shared" si="83"/>
        <v>#REF!</v>
      </c>
      <c r="DJ126" s="47" t="e">
        <f t="shared" si="84"/>
        <v>#REF!</v>
      </c>
      <c r="DK126" s="66"/>
      <c r="DL126" s="47" t="e">
        <f t="shared" si="86"/>
        <v>#REF!</v>
      </c>
      <c r="DM126" s="47"/>
      <c r="DO126" s="47" t="e">
        <f>VLOOKUP($AA126,#REF!,7,0)*(+DL126+DM126)</f>
        <v>#REF!</v>
      </c>
      <c r="DP126" s="47" t="e">
        <f>VLOOKUP($AB126,#REF!,7,0)*(+DL126+DM126)</f>
        <v>#REF!</v>
      </c>
      <c r="DS126" s="47"/>
      <c r="DU126" s="47" t="e">
        <f t="shared" si="87"/>
        <v>#REF!</v>
      </c>
      <c r="DZ126" s="47" t="e">
        <f t="shared" si="88"/>
        <v>#REF!</v>
      </c>
      <c r="EA126" s="66"/>
    </row>
    <row r="127" spans="1:131" x14ac:dyDescent="0.2">
      <c r="A127" s="38" t="s">
        <v>372</v>
      </c>
      <c r="B127" s="39" t="s">
        <v>41</v>
      </c>
      <c r="C127" s="39" t="s">
        <v>42</v>
      </c>
      <c r="D127" s="39"/>
      <c r="E127" s="40">
        <v>528152</v>
      </c>
      <c r="F127" s="41"/>
      <c r="G127" s="41"/>
      <c r="H127" s="41"/>
      <c r="I127" s="41">
        <v>-525332</v>
      </c>
      <c r="J127" s="41"/>
      <c r="K127" s="51"/>
      <c r="L127" s="41"/>
      <c r="M127" s="41"/>
      <c r="N127" s="41"/>
      <c r="O127" s="41"/>
      <c r="P127" s="41"/>
      <c r="Q127" s="41"/>
      <c r="R127" s="41"/>
      <c r="S127" s="41"/>
      <c r="T127" s="42">
        <f t="shared" si="71"/>
        <v>2820</v>
      </c>
      <c r="U127" s="43"/>
      <c r="V127" s="139">
        <v>2820</v>
      </c>
      <c r="W127" s="143" t="s">
        <v>368</v>
      </c>
      <c r="X127" s="143">
        <v>14</v>
      </c>
      <c r="Y127" s="171" t="s">
        <v>423</v>
      </c>
      <c r="Z127" s="171" t="s">
        <v>342</v>
      </c>
      <c r="AA127" s="44" t="s">
        <v>290</v>
      </c>
      <c r="AB127" s="188" t="s">
        <v>513</v>
      </c>
      <c r="AC127" s="10"/>
      <c r="AD127" s="13">
        <v>84.6</v>
      </c>
      <c r="AE127" s="10"/>
      <c r="AF127" s="10"/>
      <c r="AG127" s="45"/>
      <c r="AH127" s="45"/>
      <c r="AI127" s="45"/>
      <c r="AJ127" s="41"/>
      <c r="AK127" s="45"/>
      <c r="AL127" s="45"/>
      <c r="AN127" s="128">
        <v>0</v>
      </c>
      <c r="AO127" s="45"/>
      <c r="AP127" s="46">
        <f t="shared" si="72"/>
        <v>2904.6</v>
      </c>
      <c r="AQ127" s="47"/>
      <c r="AW127" s="48">
        <f t="shared" si="73"/>
        <v>2904.6</v>
      </c>
      <c r="AX127" s="66"/>
      <c r="AY127" s="47">
        <f t="shared" si="65"/>
        <v>2904.6</v>
      </c>
      <c r="AZ127" s="47"/>
      <c r="BB127" s="47" t="e">
        <f>VLOOKUP($AA127,#REF!,3,0)*(+AY127+AZ127)</f>
        <v>#REF!</v>
      </c>
      <c r="BC127" s="47" t="e">
        <f>VLOOKUP($AB127,#REF!,3,0)*(+AY127+AZ127)</f>
        <v>#REF!</v>
      </c>
      <c r="BE127" s="47"/>
      <c r="BH127" s="47" t="e">
        <f t="shared" si="75"/>
        <v>#REF!</v>
      </c>
      <c r="BM127" s="47" t="e">
        <f t="shared" si="76"/>
        <v>#REF!</v>
      </c>
      <c r="BN127" s="66"/>
      <c r="BO127" s="47" t="e">
        <f t="shared" si="66"/>
        <v>#REF!</v>
      </c>
      <c r="BP127" s="47"/>
      <c r="BR127" s="47" t="e">
        <f>VLOOKUP($AA127,#REF!,4,0)*(+BO127+BP127)</f>
        <v>#REF!</v>
      </c>
      <c r="BS127" s="47" t="e">
        <f>VLOOKUP($AB127,#REF!,4,0)*(+BO127+BP127)</f>
        <v>#REF!</v>
      </c>
      <c r="BV127" s="47"/>
      <c r="BY127" s="47" t="e">
        <f t="shared" si="63"/>
        <v>#REF!</v>
      </c>
      <c r="CD127" s="47" t="e">
        <f t="shared" si="78"/>
        <v>#REF!</v>
      </c>
      <c r="CE127" s="66"/>
      <c r="CF127" s="47" t="e">
        <f t="shared" si="67"/>
        <v>#REF!</v>
      </c>
      <c r="CG127" s="47"/>
      <c r="CI127" s="47" t="e">
        <f>VLOOKUP($AA127,#REF!,5,0)*(+CF127+CG127)</f>
        <v>#REF!</v>
      </c>
      <c r="CJ127" s="47" t="e">
        <f>VLOOKUP($AB127,#REF!,5,0)*(+CF127+CG127)</f>
        <v>#REF!</v>
      </c>
      <c r="CM127" s="47"/>
      <c r="CO127" s="47" t="e">
        <f t="shared" si="80"/>
        <v>#REF!</v>
      </c>
      <c r="CT127" s="47" t="e">
        <f t="shared" si="81"/>
        <v>#REF!</v>
      </c>
      <c r="CU127" s="66"/>
      <c r="CV127" s="47" t="e">
        <f t="shared" si="68"/>
        <v>#REF!</v>
      </c>
      <c r="CW127" s="47"/>
      <c r="CY127" s="47" t="e">
        <f>VLOOKUP($AA127,#REF!,6,0)*(+CV127+CW127)</f>
        <v>#REF!</v>
      </c>
      <c r="CZ127" s="47" t="e">
        <f>VLOOKUP($AB127,#REF!,6,0)*(+CV127+CW127)</f>
        <v>#REF!</v>
      </c>
      <c r="DC127" s="47"/>
      <c r="DE127" s="47" t="e">
        <f t="shared" si="83"/>
        <v>#REF!</v>
      </c>
      <c r="DJ127" s="47" t="e">
        <f t="shared" si="84"/>
        <v>#REF!</v>
      </c>
      <c r="DK127" s="66"/>
      <c r="DL127" s="47" t="e">
        <f t="shared" si="86"/>
        <v>#REF!</v>
      </c>
      <c r="DM127" s="47"/>
      <c r="DO127" s="47" t="e">
        <f>VLOOKUP($AA127,#REF!,7,0)*(+DL127+DM127)</f>
        <v>#REF!</v>
      </c>
      <c r="DP127" s="47" t="e">
        <f>VLOOKUP($AB127,#REF!,7,0)*(+DL127+DM127)</f>
        <v>#REF!</v>
      </c>
      <c r="DS127" s="47"/>
      <c r="DU127" s="47" t="e">
        <f t="shared" si="87"/>
        <v>#REF!</v>
      </c>
      <c r="DZ127" s="47" t="e">
        <f t="shared" si="88"/>
        <v>#REF!</v>
      </c>
      <c r="EA127" s="66"/>
    </row>
    <row r="128" spans="1:131" x14ac:dyDescent="0.2">
      <c r="A128" s="38" t="s">
        <v>342</v>
      </c>
      <c r="B128" s="39" t="s">
        <v>43</v>
      </c>
      <c r="C128" s="39" t="s">
        <v>44</v>
      </c>
      <c r="D128" s="39"/>
      <c r="E128" s="40">
        <v>155387</v>
      </c>
      <c r="F128" s="41"/>
      <c r="G128" s="41"/>
      <c r="H128" s="41"/>
      <c r="I128" s="41">
        <v>-153722</v>
      </c>
      <c r="J128" s="41"/>
      <c r="K128" s="51"/>
      <c r="L128" s="41"/>
      <c r="M128" s="41"/>
      <c r="N128" s="41"/>
      <c r="O128" s="41"/>
      <c r="P128" s="41"/>
      <c r="Q128" s="41"/>
      <c r="R128" s="41"/>
      <c r="S128" s="41"/>
      <c r="T128" s="42">
        <f t="shared" si="71"/>
        <v>1665</v>
      </c>
      <c r="U128" s="43"/>
      <c r="V128" s="139">
        <v>1665</v>
      </c>
      <c r="W128" s="143" t="s">
        <v>368</v>
      </c>
      <c r="X128" s="143">
        <v>15</v>
      </c>
      <c r="Y128" s="171" t="s">
        <v>423</v>
      </c>
      <c r="Z128" s="171" t="s">
        <v>342</v>
      </c>
      <c r="AA128" s="44" t="s">
        <v>290</v>
      </c>
      <c r="AB128" s="188" t="s">
        <v>513</v>
      </c>
      <c r="AC128" s="10"/>
      <c r="AD128" s="13">
        <v>49.949999999999996</v>
      </c>
      <c r="AE128" s="10"/>
      <c r="AF128" s="10"/>
      <c r="AG128" s="45"/>
      <c r="AH128" s="45"/>
      <c r="AI128" s="45"/>
      <c r="AJ128" s="41"/>
      <c r="AK128" s="45"/>
      <c r="AL128" s="45"/>
      <c r="AN128" s="128">
        <v>0</v>
      </c>
      <c r="AO128" s="45"/>
      <c r="AP128" s="46">
        <f t="shared" si="72"/>
        <v>1714.95</v>
      </c>
      <c r="AQ128" s="47"/>
      <c r="AW128" s="48">
        <f t="shared" si="73"/>
        <v>1714.95</v>
      </c>
      <c r="AX128" s="66"/>
      <c r="AY128" s="47">
        <f t="shared" si="65"/>
        <v>1714.95</v>
      </c>
      <c r="AZ128" s="47"/>
      <c r="BB128" s="47" t="e">
        <f>VLOOKUP($AA128,#REF!,3,0)*(+AY128+AZ128)</f>
        <v>#REF!</v>
      </c>
      <c r="BC128" s="47" t="e">
        <f>VLOOKUP($AB128,#REF!,3,0)*(+AY128+AZ128)</f>
        <v>#REF!</v>
      </c>
      <c r="BE128" s="47"/>
      <c r="BH128" s="47" t="e">
        <f t="shared" si="75"/>
        <v>#REF!</v>
      </c>
      <c r="BM128" s="47" t="e">
        <f t="shared" si="76"/>
        <v>#REF!</v>
      </c>
      <c r="BN128" s="66"/>
      <c r="BO128" s="47" t="e">
        <f t="shared" si="66"/>
        <v>#REF!</v>
      </c>
      <c r="BP128" s="47"/>
      <c r="BR128" s="47" t="e">
        <f>VLOOKUP($AA128,#REF!,4,0)*(+BO128+BP128)</f>
        <v>#REF!</v>
      </c>
      <c r="BS128" s="47" t="e">
        <f>VLOOKUP($AB128,#REF!,4,0)*(+BO128+BP128)</f>
        <v>#REF!</v>
      </c>
      <c r="BV128" s="47"/>
      <c r="BY128" s="47" t="e">
        <f t="shared" si="63"/>
        <v>#REF!</v>
      </c>
      <c r="CD128" s="47" t="e">
        <f t="shared" si="78"/>
        <v>#REF!</v>
      </c>
      <c r="CE128" s="66"/>
      <c r="CF128" s="47" t="e">
        <f t="shared" si="67"/>
        <v>#REF!</v>
      </c>
      <c r="CG128" s="47"/>
      <c r="CI128" s="47" t="e">
        <f>VLOOKUP($AA128,#REF!,5,0)*(+CF128+CG128)</f>
        <v>#REF!</v>
      </c>
      <c r="CJ128" s="47" t="e">
        <f>VLOOKUP($AB128,#REF!,5,0)*(+CF128+CG128)</f>
        <v>#REF!</v>
      </c>
      <c r="CM128" s="47"/>
      <c r="CO128" s="47" t="e">
        <f t="shared" si="80"/>
        <v>#REF!</v>
      </c>
      <c r="CT128" s="47" t="e">
        <f t="shared" si="81"/>
        <v>#REF!</v>
      </c>
      <c r="CU128" s="66"/>
      <c r="CV128" s="47" t="e">
        <f t="shared" si="68"/>
        <v>#REF!</v>
      </c>
      <c r="CW128" s="47"/>
      <c r="CY128" s="47" t="e">
        <f>VLOOKUP($AA128,#REF!,6,0)*(+CV128+CW128)</f>
        <v>#REF!</v>
      </c>
      <c r="CZ128" s="47" t="e">
        <f>VLOOKUP($AB128,#REF!,6,0)*(+CV128+CW128)</f>
        <v>#REF!</v>
      </c>
      <c r="DC128" s="47"/>
      <c r="DE128" s="47" t="e">
        <f t="shared" si="83"/>
        <v>#REF!</v>
      </c>
      <c r="DJ128" s="47" t="e">
        <f t="shared" si="84"/>
        <v>#REF!</v>
      </c>
      <c r="DK128" s="66"/>
      <c r="DL128" s="47" t="e">
        <f t="shared" si="86"/>
        <v>#REF!</v>
      </c>
      <c r="DM128" s="47"/>
      <c r="DO128" s="47" t="e">
        <f>VLOOKUP($AA128,#REF!,7,0)*(+DL128+DM128)</f>
        <v>#REF!</v>
      </c>
      <c r="DP128" s="47" t="e">
        <f>VLOOKUP($AB128,#REF!,7,0)*(+DL128+DM128)</f>
        <v>#REF!</v>
      </c>
      <c r="DS128" s="47"/>
      <c r="DU128" s="47" t="e">
        <f t="shared" si="87"/>
        <v>#REF!</v>
      </c>
      <c r="DZ128" s="47" t="e">
        <f t="shared" si="88"/>
        <v>#REF!</v>
      </c>
      <c r="EA128" s="66"/>
    </row>
    <row r="129" spans="1:131" x14ac:dyDescent="0.2">
      <c r="A129" s="38" t="s">
        <v>342</v>
      </c>
      <c r="B129" s="39" t="s">
        <v>45</v>
      </c>
      <c r="C129" s="39" t="s">
        <v>46</v>
      </c>
      <c r="D129" s="39"/>
      <c r="E129" s="40">
        <v>481758</v>
      </c>
      <c r="F129" s="41"/>
      <c r="G129" s="41"/>
      <c r="H129" s="41"/>
      <c r="I129" s="41">
        <v>-481758</v>
      </c>
      <c r="J129" s="41"/>
      <c r="K129" s="51"/>
      <c r="L129" s="41"/>
      <c r="M129" s="41"/>
      <c r="N129" s="41"/>
      <c r="O129" s="41"/>
      <c r="P129" s="41"/>
      <c r="Q129" s="41"/>
      <c r="R129" s="41"/>
      <c r="S129" s="41"/>
      <c r="T129" s="42">
        <f t="shared" si="71"/>
        <v>0</v>
      </c>
      <c r="U129" s="43"/>
      <c r="V129" s="139">
        <v>0</v>
      </c>
      <c r="W129" s="143" t="s">
        <v>368</v>
      </c>
      <c r="X129" s="143">
        <v>15</v>
      </c>
      <c r="Y129" s="171" t="s">
        <v>423</v>
      </c>
      <c r="Z129" s="171" t="s">
        <v>342</v>
      </c>
      <c r="AA129" s="44" t="s">
        <v>290</v>
      </c>
      <c r="AB129" s="188" t="s">
        <v>513</v>
      </c>
      <c r="AC129" s="10"/>
      <c r="AD129" s="13">
        <v>0</v>
      </c>
      <c r="AE129" s="10"/>
      <c r="AF129" s="10"/>
      <c r="AG129" s="45"/>
      <c r="AH129" s="45"/>
      <c r="AI129" s="45"/>
      <c r="AJ129" s="41"/>
      <c r="AK129" s="45"/>
      <c r="AL129" s="45"/>
      <c r="AN129" s="128">
        <v>0</v>
      </c>
      <c r="AO129" s="45"/>
      <c r="AP129" s="46">
        <f t="shared" si="72"/>
        <v>0</v>
      </c>
      <c r="AQ129" s="47"/>
      <c r="AW129" s="48">
        <f t="shared" si="73"/>
        <v>0</v>
      </c>
      <c r="AX129" s="66"/>
      <c r="AY129" s="47">
        <f t="shared" si="65"/>
        <v>0</v>
      </c>
      <c r="AZ129" s="47"/>
      <c r="BB129" s="47" t="e">
        <f>VLOOKUP($AA129,#REF!,3,0)*(+AY129+AZ129)</f>
        <v>#REF!</v>
      </c>
      <c r="BC129" s="47" t="e">
        <f>VLOOKUP($AB129,#REF!,3,0)*(+AY129+AZ129)</f>
        <v>#REF!</v>
      </c>
      <c r="BE129" s="47"/>
      <c r="BH129" s="47" t="e">
        <f t="shared" si="75"/>
        <v>#REF!</v>
      </c>
      <c r="BM129" s="47" t="e">
        <f t="shared" si="76"/>
        <v>#REF!</v>
      </c>
      <c r="BN129" s="66"/>
      <c r="BO129" s="47" t="e">
        <f t="shared" si="66"/>
        <v>#REF!</v>
      </c>
      <c r="BP129" s="47"/>
      <c r="BR129" s="47" t="e">
        <f>VLOOKUP($AA129,#REF!,4,0)*(+BO129+BP129)</f>
        <v>#REF!</v>
      </c>
      <c r="BS129" s="47" t="e">
        <f>VLOOKUP($AB129,#REF!,4,0)*(+BO129+BP129)</f>
        <v>#REF!</v>
      </c>
      <c r="BV129" s="47"/>
      <c r="BY129" s="47" t="e">
        <f t="shared" si="63"/>
        <v>#REF!</v>
      </c>
      <c r="CD129" s="47" t="e">
        <f t="shared" si="78"/>
        <v>#REF!</v>
      </c>
      <c r="CE129" s="66"/>
      <c r="CF129" s="47" t="e">
        <f t="shared" si="67"/>
        <v>#REF!</v>
      </c>
      <c r="CG129" s="47"/>
      <c r="CI129" s="47" t="e">
        <f>VLOOKUP($AA129,#REF!,5,0)*(+CF129+CG129)</f>
        <v>#REF!</v>
      </c>
      <c r="CJ129" s="47" t="e">
        <f>VLOOKUP($AB129,#REF!,5,0)*(+CF129+CG129)</f>
        <v>#REF!</v>
      </c>
      <c r="CM129" s="47"/>
      <c r="CO129" s="47" t="e">
        <f t="shared" si="80"/>
        <v>#REF!</v>
      </c>
      <c r="CT129" s="47" t="e">
        <f t="shared" si="81"/>
        <v>#REF!</v>
      </c>
      <c r="CU129" s="66"/>
      <c r="CV129" s="47" t="e">
        <f t="shared" si="68"/>
        <v>#REF!</v>
      </c>
      <c r="CW129" s="47"/>
      <c r="CY129" s="47" t="e">
        <f>VLOOKUP($AA129,#REF!,6,0)*(+CV129+CW129)</f>
        <v>#REF!</v>
      </c>
      <c r="CZ129" s="47" t="e">
        <f>VLOOKUP($AB129,#REF!,6,0)*(+CV129+CW129)</f>
        <v>#REF!</v>
      </c>
      <c r="DC129" s="47"/>
      <c r="DE129" s="47" t="e">
        <f t="shared" si="83"/>
        <v>#REF!</v>
      </c>
      <c r="DJ129" s="47" t="e">
        <f t="shared" si="84"/>
        <v>#REF!</v>
      </c>
      <c r="DK129" s="66"/>
      <c r="DL129" s="47" t="e">
        <f t="shared" si="86"/>
        <v>#REF!</v>
      </c>
      <c r="DM129" s="47"/>
      <c r="DO129" s="47" t="e">
        <f>VLOOKUP($AA129,#REF!,7,0)*(+DL129+DM129)</f>
        <v>#REF!</v>
      </c>
      <c r="DP129" s="47" t="e">
        <f>VLOOKUP($AB129,#REF!,7,0)*(+DL129+DM129)</f>
        <v>#REF!</v>
      </c>
      <c r="DS129" s="47"/>
      <c r="DU129" s="47" t="e">
        <f t="shared" si="87"/>
        <v>#REF!</v>
      </c>
      <c r="DZ129" s="47" t="e">
        <f t="shared" si="88"/>
        <v>#REF!</v>
      </c>
      <c r="EA129" s="66"/>
    </row>
    <row r="130" spans="1:131" x14ac:dyDescent="0.2">
      <c r="A130" s="38" t="s">
        <v>342</v>
      </c>
      <c r="B130" s="39" t="s">
        <v>47</v>
      </c>
      <c r="C130" s="39" t="s">
        <v>48</v>
      </c>
      <c r="D130" s="39"/>
      <c r="E130" s="40">
        <v>105234</v>
      </c>
      <c r="F130" s="41"/>
      <c r="G130" s="41"/>
      <c r="H130" s="41"/>
      <c r="I130" s="41">
        <v>-104734</v>
      </c>
      <c r="J130" s="41"/>
      <c r="K130" s="51"/>
      <c r="L130" s="41"/>
      <c r="M130" s="41"/>
      <c r="N130" s="41"/>
      <c r="O130" s="41"/>
      <c r="P130" s="41"/>
      <c r="Q130" s="41"/>
      <c r="R130" s="41"/>
      <c r="S130" s="41"/>
      <c r="T130" s="42">
        <f t="shared" si="71"/>
        <v>500</v>
      </c>
      <c r="U130" s="43"/>
      <c r="V130" s="139">
        <v>500</v>
      </c>
      <c r="W130" s="143" t="s">
        <v>368</v>
      </c>
      <c r="X130" s="143">
        <v>15</v>
      </c>
      <c r="Y130" s="171" t="s">
        <v>423</v>
      </c>
      <c r="Z130" s="171" t="s">
        <v>342</v>
      </c>
      <c r="AA130" s="44" t="s">
        <v>290</v>
      </c>
      <c r="AB130" s="188" t="s">
        <v>513</v>
      </c>
      <c r="AC130" s="10"/>
      <c r="AD130" s="13">
        <v>15</v>
      </c>
      <c r="AE130" s="10"/>
      <c r="AF130" s="10"/>
      <c r="AG130" s="45"/>
      <c r="AH130" s="45"/>
      <c r="AI130" s="45"/>
      <c r="AJ130" s="41"/>
      <c r="AK130" s="45"/>
      <c r="AL130" s="45"/>
      <c r="AN130" s="128">
        <v>0</v>
      </c>
      <c r="AO130" s="45"/>
      <c r="AP130" s="46">
        <f t="shared" si="72"/>
        <v>515</v>
      </c>
      <c r="AQ130" s="47"/>
      <c r="AW130" s="48">
        <f t="shared" si="73"/>
        <v>515</v>
      </c>
      <c r="AX130" s="66"/>
      <c r="AY130" s="47">
        <f t="shared" si="65"/>
        <v>515</v>
      </c>
      <c r="AZ130" s="47"/>
      <c r="BB130" s="47" t="e">
        <f>VLOOKUP($AA130,#REF!,3,0)*(+AY130+AZ130)</f>
        <v>#REF!</v>
      </c>
      <c r="BC130" s="47" t="e">
        <f>VLOOKUP($AB130,#REF!,3,0)*(+AY130+AZ130)</f>
        <v>#REF!</v>
      </c>
      <c r="BE130" s="47"/>
      <c r="BH130" s="47" t="e">
        <f t="shared" si="75"/>
        <v>#REF!</v>
      </c>
      <c r="BM130" s="47" t="e">
        <f t="shared" si="76"/>
        <v>#REF!</v>
      </c>
      <c r="BN130" s="66"/>
      <c r="BO130" s="47" t="e">
        <f t="shared" si="66"/>
        <v>#REF!</v>
      </c>
      <c r="BP130" s="47"/>
      <c r="BR130" s="47" t="e">
        <f>VLOOKUP($AA130,#REF!,4,0)*(+BO130+BP130)</f>
        <v>#REF!</v>
      </c>
      <c r="BS130" s="47" t="e">
        <f>VLOOKUP($AB130,#REF!,4,0)*(+BO130+BP130)</f>
        <v>#REF!</v>
      </c>
      <c r="BV130" s="47"/>
      <c r="BY130" s="47" t="e">
        <f t="shared" si="63"/>
        <v>#REF!</v>
      </c>
      <c r="CD130" s="47" t="e">
        <f t="shared" si="78"/>
        <v>#REF!</v>
      </c>
      <c r="CE130" s="66"/>
      <c r="CF130" s="47" t="e">
        <f t="shared" si="67"/>
        <v>#REF!</v>
      </c>
      <c r="CG130" s="47"/>
      <c r="CI130" s="47" t="e">
        <f>VLOOKUP($AA130,#REF!,5,0)*(+CF130+CG130)</f>
        <v>#REF!</v>
      </c>
      <c r="CJ130" s="47" t="e">
        <f>VLOOKUP($AB130,#REF!,5,0)*(+CF130+CG130)</f>
        <v>#REF!</v>
      </c>
      <c r="CM130" s="47"/>
      <c r="CO130" s="47" t="e">
        <f t="shared" si="80"/>
        <v>#REF!</v>
      </c>
      <c r="CT130" s="47" t="e">
        <f t="shared" si="81"/>
        <v>#REF!</v>
      </c>
      <c r="CU130" s="66"/>
      <c r="CV130" s="47" t="e">
        <f t="shared" si="68"/>
        <v>#REF!</v>
      </c>
      <c r="CW130" s="47"/>
      <c r="CY130" s="47" t="e">
        <f>VLOOKUP($AA130,#REF!,6,0)*(+CV130+CW130)</f>
        <v>#REF!</v>
      </c>
      <c r="CZ130" s="47" t="e">
        <f>VLOOKUP($AB130,#REF!,6,0)*(+CV130+CW130)</f>
        <v>#REF!</v>
      </c>
      <c r="DC130" s="47"/>
      <c r="DE130" s="47" t="e">
        <f t="shared" si="83"/>
        <v>#REF!</v>
      </c>
      <c r="DJ130" s="47" t="e">
        <f t="shared" si="84"/>
        <v>#REF!</v>
      </c>
      <c r="DK130" s="66"/>
      <c r="DL130" s="47" t="e">
        <f t="shared" si="86"/>
        <v>#REF!</v>
      </c>
      <c r="DM130" s="47"/>
      <c r="DO130" s="47" t="e">
        <f>VLOOKUP($AA130,#REF!,7,0)*(+DL130+DM130)</f>
        <v>#REF!</v>
      </c>
      <c r="DP130" s="47" t="e">
        <f>VLOOKUP($AB130,#REF!,7,0)*(+DL130+DM130)</f>
        <v>#REF!</v>
      </c>
      <c r="DS130" s="47"/>
      <c r="DU130" s="47" t="e">
        <f t="shared" si="87"/>
        <v>#REF!</v>
      </c>
      <c r="DZ130" s="47" t="e">
        <f t="shared" si="88"/>
        <v>#REF!</v>
      </c>
      <c r="EA130" s="66"/>
    </row>
    <row r="131" spans="1:131" x14ac:dyDescent="0.2">
      <c r="A131" s="38" t="s">
        <v>342</v>
      </c>
      <c r="B131" s="39" t="s">
        <v>49</v>
      </c>
      <c r="C131" s="39" t="s">
        <v>50</v>
      </c>
      <c r="D131" s="39"/>
      <c r="E131" s="40">
        <v>255188</v>
      </c>
      <c r="F131" s="41"/>
      <c r="G131" s="41"/>
      <c r="H131" s="41"/>
      <c r="I131" s="41">
        <v>-242768</v>
      </c>
      <c r="J131" s="41"/>
      <c r="K131" s="51"/>
      <c r="L131" s="41"/>
      <c r="M131" s="41"/>
      <c r="N131" s="41"/>
      <c r="O131" s="41"/>
      <c r="P131" s="41"/>
      <c r="Q131" s="41"/>
      <c r="R131" s="41"/>
      <c r="S131" s="41"/>
      <c r="T131" s="42">
        <f t="shared" si="71"/>
        <v>12420</v>
      </c>
      <c r="U131" s="43"/>
      <c r="V131" s="139">
        <v>12420</v>
      </c>
      <c r="W131" s="143" t="s">
        <v>368</v>
      </c>
      <c r="X131" s="143">
        <v>15</v>
      </c>
      <c r="Y131" s="171" t="s">
        <v>423</v>
      </c>
      <c r="Z131" s="171" t="s">
        <v>342</v>
      </c>
      <c r="AA131" s="44" t="s">
        <v>290</v>
      </c>
      <c r="AB131" s="188" t="s">
        <v>513</v>
      </c>
      <c r="AC131" s="10"/>
      <c r="AD131" s="13">
        <v>372.59999999999997</v>
      </c>
      <c r="AE131" s="10"/>
      <c r="AF131" s="10"/>
      <c r="AG131" s="45"/>
      <c r="AH131" s="45"/>
      <c r="AI131" s="45"/>
      <c r="AJ131" s="41"/>
      <c r="AK131" s="45"/>
      <c r="AL131" s="45"/>
      <c r="AN131" s="128">
        <v>0</v>
      </c>
      <c r="AO131" s="45"/>
      <c r="AP131" s="46">
        <f t="shared" si="72"/>
        <v>12792.6</v>
      </c>
      <c r="AQ131" s="47"/>
      <c r="AW131" s="48">
        <f t="shared" si="73"/>
        <v>12792.6</v>
      </c>
      <c r="AX131" s="66"/>
      <c r="AY131" s="47">
        <f t="shared" si="65"/>
        <v>12792.6</v>
      </c>
      <c r="AZ131" s="47"/>
      <c r="BB131" s="47" t="e">
        <f>VLOOKUP($AA131,#REF!,3,0)*(+AY131+AZ131)</f>
        <v>#REF!</v>
      </c>
      <c r="BC131" s="47" t="e">
        <f>VLOOKUP($AB131,#REF!,3,0)*(+AY131+AZ131)</f>
        <v>#REF!</v>
      </c>
      <c r="BE131" s="47"/>
      <c r="BH131" s="47" t="e">
        <f t="shared" si="75"/>
        <v>#REF!</v>
      </c>
      <c r="BM131" s="47" t="e">
        <f t="shared" si="76"/>
        <v>#REF!</v>
      </c>
      <c r="BN131" s="66"/>
      <c r="BO131" s="47" t="e">
        <f t="shared" si="66"/>
        <v>#REF!</v>
      </c>
      <c r="BP131" s="47"/>
      <c r="BR131" s="47" t="e">
        <f>VLOOKUP($AA131,#REF!,4,0)*(+BO131+BP131)</f>
        <v>#REF!</v>
      </c>
      <c r="BS131" s="47" t="e">
        <f>VLOOKUP($AB131,#REF!,4,0)*(+BO131+BP131)</f>
        <v>#REF!</v>
      </c>
      <c r="BV131" s="47"/>
      <c r="BY131" s="47" t="e">
        <f t="shared" si="63"/>
        <v>#REF!</v>
      </c>
      <c r="CD131" s="47" t="e">
        <f t="shared" si="78"/>
        <v>#REF!</v>
      </c>
      <c r="CE131" s="66"/>
      <c r="CF131" s="47" t="e">
        <f t="shared" si="67"/>
        <v>#REF!</v>
      </c>
      <c r="CG131" s="47"/>
      <c r="CI131" s="47" t="e">
        <f>VLOOKUP($AA131,#REF!,5,0)*(+CF131+CG131)</f>
        <v>#REF!</v>
      </c>
      <c r="CJ131" s="47" t="e">
        <f>VLOOKUP($AB131,#REF!,5,0)*(+CF131+CG131)</f>
        <v>#REF!</v>
      </c>
      <c r="CM131" s="47"/>
      <c r="CO131" s="47" t="e">
        <f t="shared" si="80"/>
        <v>#REF!</v>
      </c>
      <c r="CT131" s="47" t="e">
        <f t="shared" si="81"/>
        <v>#REF!</v>
      </c>
      <c r="CU131" s="66"/>
      <c r="CV131" s="47" t="e">
        <f t="shared" si="68"/>
        <v>#REF!</v>
      </c>
      <c r="CW131" s="47"/>
      <c r="CY131" s="47" t="e">
        <f>VLOOKUP($AA131,#REF!,6,0)*(+CV131+CW131)</f>
        <v>#REF!</v>
      </c>
      <c r="CZ131" s="47" t="e">
        <f>VLOOKUP($AB131,#REF!,6,0)*(+CV131+CW131)</f>
        <v>#REF!</v>
      </c>
      <c r="DC131" s="47"/>
      <c r="DE131" s="47" t="e">
        <f t="shared" si="83"/>
        <v>#REF!</v>
      </c>
      <c r="DJ131" s="47" t="e">
        <f t="shared" si="84"/>
        <v>#REF!</v>
      </c>
      <c r="DK131" s="66"/>
      <c r="DL131" s="47" t="e">
        <f t="shared" si="86"/>
        <v>#REF!</v>
      </c>
      <c r="DM131" s="47"/>
      <c r="DO131" s="47" t="e">
        <f>VLOOKUP($AA131,#REF!,7,0)*(+DL131+DM131)</f>
        <v>#REF!</v>
      </c>
      <c r="DP131" s="47" t="e">
        <f>VLOOKUP($AB131,#REF!,7,0)*(+DL131+DM131)</f>
        <v>#REF!</v>
      </c>
      <c r="DS131" s="47"/>
      <c r="DU131" s="47" t="e">
        <f t="shared" si="87"/>
        <v>#REF!</v>
      </c>
      <c r="DZ131" s="47" t="e">
        <f t="shared" si="88"/>
        <v>#REF!</v>
      </c>
      <c r="EA131" s="66"/>
    </row>
    <row r="132" spans="1:131" x14ac:dyDescent="0.2">
      <c r="A132" s="38" t="s">
        <v>342</v>
      </c>
      <c r="B132" s="39" t="s">
        <v>51</v>
      </c>
      <c r="C132" s="39" t="s">
        <v>52</v>
      </c>
      <c r="D132" s="39"/>
      <c r="E132" s="40">
        <v>666787</v>
      </c>
      <c r="F132" s="41"/>
      <c r="G132" s="41"/>
      <c r="H132" s="41"/>
      <c r="I132" s="41">
        <v>-666787</v>
      </c>
      <c r="J132" s="41"/>
      <c r="K132" s="51"/>
      <c r="L132" s="41"/>
      <c r="M132" s="41"/>
      <c r="N132" s="41"/>
      <c r="O132" s="41"/>
      <c r="P132" s="41"/>
      <c r="Q132" s="41"/>
      <c r="R132" s="41"/>
      <c r="S132" s="41"/>
      <c r="T132" s="42">
        <f t="shared" si="71"/>
        <v>0</v>
      </c>
      <c r="U132" s="43"/>
      <c r="V132" s="139">
        <v>0</v>
      </c>
      <c r="W132" s="143" t="s">
        <v>368</v>
      </c>
      <c r="X132" s="143">
        <v>15</v>
      </c>
      <c r="Y132" s="171" t="s">
        <v>423</v>
      </c>
      <c r="Z132" s="171" t="s">
        <v>342</v>
      </c>
      <c r="AA132" s="44" t="s">
        <v>290</v>
      </c>
      <c r="AB132" s="188" t="s">
        <v>513</v>
      </c>
      <c r="AC132" s="10"/>
      <c r="AD132" s="13">
        <v>0</v>
      </c>
      <c r="AE132" s="10"/>
      <c r="AF132" s="10"/>
      <c r="AG132" s="45"/>
      <c r="AH132" s="45"/>
      <c r="AI132" s="45"/>
      <c r="AJ132" s="41"/>
      <c r="AK132" s="45"/>
      <c r="AL132" s="45"/>
      <c r="AN132" s="128">
        <v>0</v>
      </c>
      <c r="AO132" s="45"/>
      <c r="AP132" s="46">
        <f t="shared" si="72"/>
        <v>0</v>
      </c>
      <c r="AQ132" s="47"/>
      <c r="AW132" s="48">
        <f t="shared" si="73"/>
        <v>0</v>
      </c>
      <c r="AX132" s="66"/>
      <c r="AY132" s="47">
        <f t="shared" si="65"/>
        <v>0</v>
      </c>
      <c r="AZ132" s="47"/>
      <c r="BB132" s="47" t="e">
        <f>VLOOKUP($AA132,#REF!,3,0)*(+AY132+AZ132)</f>
        <v>#REF!</v>
      </c>
      <c r="BC132" s="47" t="e">
        <f>VLOOKUP($AB132,#REF!,3,0)*(+AY132+AZ132)</f>
        <v>#REF!</v>
      </c>
      <c r="BE132" s="47"/>
      <c r="BH132" s="47" t="e">
        <f t="shared" si="75"/>
        <v>#REF!</v>
      </c>
      <c r="BM132" s="47" t="e">
        <f t="shared" si="76"/>
        <v>#REF!</v>
      </c>
      <c r="BN132" s="66"/>
      <c r="BO132" s="47" t="e">
        <f t="shared" si="66"/>
        <v>#REF!</v>
      </c>
      <c r="BP132" s="47"/>
      <c r="BR132" s="47" t="e">
        <f>VLOOKUP($AA132,#REF!,4,0)*(+BO132+BP132)</f>
        <v>#REF!</v>
      </c>
      <c r="BS132" s="47" t="e">
        <f>VLOOKUP($AB132,#REF!,4,0)*(+BO132+BP132)</f>
        <v>#REF!</v>
      </c>
      <c r="BV132" s="47"/>
      <c r="BY132" s="47" t="e">
        <f t="shared" si="63"/>
        <v>#REF!</v>
      </c>
      <c r="CD132" s="47" t="e">
        <f t="shared" si="78"/>
        <v>#REF!</v>
      </c>
      <c r="CE132" s="66"/>
      <c r="CF132" s="47" t="e">
        <f t="shared" si="67"/>
        <v>#REF!</v>
      </c>
      <c r="CG132" s="47"/>
      <c r="CI132" s="47" t="e">
        <f>VLOOKUP($AA132,#REF!,5,0)*(+CF132+CG132)</f>
        <v>#REF!</v>
      </c>
      <c r="CJ132" s="47" t="e">
        <f>VLOOKUP($AB132,#REF!,5,0)*(+CF132+CG132)</f>
        <v>#REF!</v>
      </c>
      <c r="CM132" s="47"/>
      <c r="CO132" s="47" t="e">
        <f t="shared" si="80"/>
        <v>#REF!</v>
      </c>
      <c r="CT132" s="47" t="e">
        <f t="shared" si="81"/>
        <v>#REF!</v>
      </c>
      <c r="CU132" s="66"/>
      <c r="CV132" s="47" t="e">
        <f t="shared" si="68"/>
        <v>#REF!</v>
      </c>
      <c r="CW132" s="47"/>
      <c r="CY132" s="47" t="e">
        <f>VLOOKUP($AA132,#REF!,6,0)*(+CV132+CW132)</f>
        <v>#REF!</v>
      </c>
      <c r="CZ132" s="47" t="e">
        <f>VLOOKUP($AB132,#REF!,6,0)*(+CV132+CW132)</f>
        <v>#REF!</v>
      </c>
      <c r="DC132" s="47"/>
      <c r="DE132" s="47" t="e">
        <f t="shared" si="83"/>
        <v>#REF!</v>
      </c>
      <c r="DJ132" s="47" t="e">
        <f t="shared" si="84"/>
        <v>#REF!</v>
      </c>
      <c r="DK132" s="66"/>
      <c r="DL132" s="47" t="e">
        <f t="shared" si="86"/>
        <v>#REF!</v>
      </c>
      <c r="DM132" s="47"/>
      <c r="DO132" s="47" t="e">
        <f>VLOOKUP($AA132,#REF!,7,0)*(+DL132+DM132)</f>
        <v>#REF!</v>
      </c>
      <c r="DP132" s="47" t="e">
        <f>VLOOKUP($AB132,#REF!,7,0)*(+DL132+DM132)</f>
        <v>#REF!</v>
      </c>
      <c r="DS132" s="47"/>
      <c r="DU132" s="47" t="e">
        <f t="shared" si="87"/>
        <v>#REF!</v>
      </c>
      <c r="DZ132" s="47" t="e">
        <f t="shared" si="88"/>
        <v>#REF!</v>
      </c>
      <c r="EA132" s="66"/>
    </row>
    <row r="133" spans="1:131" x14ac:dyDescent="0.2">
      <c r="A133" s="38" t="s">
        <v>342</v>
      </c>
      <c r="B133" s="39" t="s">
        <v>53</v>
      </c>
      <c r="C133" s="39" t="s">
        <v>54</v>
      </c>
      <c r="D133" s="39"/>
      <c r="E133" s="40">
        <v>32591</v>
      </c>
      <c r="F133" s="41"/>
      <c r="G133" s="41"/>
      <c r="H133" s="41"/>
      <c r="I133" s="41">
        <v>-32305</v>
      </c>
      <c r="J133" s="41"/>
      <c r="K133" s="51"/>
      <c r="L133" s="41"/>
      <c r="M133" s="41"/>
      <c r="N133" s="41"/>
      <c r="O133" s="41"/>
      <c r="P133" s="41"/>
      <c r="Q133" s="41"/>
      <c r="R133" s="41"/>
      <c r="S133" s="41"/>
      <c r="T133" s="42">
        <f t="shared" si="71"/>
        <v>286</v>
      </c>
      <c r="U133" s="43"/>
      <c r="V133" s="139">
        <v>286</v>
      </c>
      <c r="W133" s="143" t="s">
        <v>368</v>
      </c>
      <c r="X133" s="143">
        <v>15</v>
      </c>
      <c r="Y133" s="171" t="s">
        <v>423</v>
      </c>
      <c r="Z133" s="171" t="s">
        <v>342</v>
      </c>
      <c r="AA133" s="44" t="s">
        <v>290</v>
      </c>
      <c r="AB133" s="188" t="s">
        <v>513</v>
      </c>
      <c r="AC133" s="10"/>
      <c r="AD133" s="13">
        <v>8.58</v>
      </c>
      <c r="AE133" s="10"/>
      <c r="AF133" s="10"/>
      <c r="AG133" s="45"/>
      <c r="AH133" s="45"/>
      <c r="AI133" s="45"/>
      <c r="AJ133" s="41"/>
      <c r="AK133" s="45"/>
      <c r="AL133" s="45"/>
      <c r="AN133" s="128">
        <v>0</v>
      </c>
      <c r="AO133" s="45"/>
      <c r="AP133" s="46">
        <f t="shared" si="72"/>
        <v>294.58</v>
      </c>
      <c r="AQ133" s="47"/>
      <c r="AW133" s="48">
        <f t="shared" si="73"/>
        <v>294.58</v>
      </c>
      <c r="AX133" s="66"/>
      <c r="AY133" s="47">
        <f t="shared" si="65"/>
        <v>294.58</v>
      </c>
      <c r="AZ133" s="47"/>
      <c r="BB133" s="47" t="e">
        <f>VLOOKUP($AA133,#REF!,3,0)*(+AY133+AZ133)</f>
        <v>#REF!</v>
      </c>
      <c r="BC133" s="47" t="e">
        <f>VLOOKUP($AB133,#REF!,3,0)*(+AY133+AZ133)</f>
        <v>#REF!</v>
      </c>
      <c r="BE133" s="47"/>
      <c r="BH133" s="47" t="e">
        <f t="shared" si="75"/>
        <v>#REF!</v>
      </c>
      <c r="BM133" s="47" t="e">
        <f t="shared" si="76"/>
        <v>#REF!</v>
      </c>
      <c r="BN133" s="66"/>
      <c r="BO133" s="47" t="e">
        <f t="shared" si="66"/>
        <v>#REF!</v>
      </c>
      <c r="BP133" s="47"/>
      <c r="BR133" s="47" t="e">
        <f>VLOOKUP($AA133,#REF!,4,0)*(+BO133+BP133)</f>
        <v>#REF!</v>
      </c>
      <c r="BS133" s="47" t="e">
        <f>VLOOKUP($AB133,#REF!,4,0)*(+BO133+BP133)</f>
        <v>#REF!</v>
      </c>
      <c r="BV133" s="47"/>
      <c r="BY133" s="47" t="e">
        <f t="shared" si="63"/>
        <v>#REF!</v>
      </c>
      <c r="CD133" s="47" t="e">
        <f t="shared" si="78"/>
        <v>#REF!</v>
      </c>
      <c r="CE133" s="66"/>
      <c r="CF133" s="47" t="e">
        <f t="shared" si="67"/>
        <v>#REF!</v>
      </c>
      <c r="CG133" s="47"/>
      <c r="CI133" s="47" t="e">
        <f>VLOOKUP($AA133,#REF!,5,0)*(+CF133+CG133)</f>
        <v>#REF!</v>
      </c>
      <c r="CJ133" s="47" t="e">
        <f>VLOOKUP($AB133,#REF!,5,0)*(+CF133+CG133)</f>
        <v>#REF!</v>
      </c>
      <c r="CM133" s="47"/>
      <c r="CO133" s="47" t="e">
        <f t="shared" si="80"/>
        <v>#REF!</v>
      </c>
      <c r="CT133" s="47" t="e">
        <f t="shared" si="81"/>
        <v>#REF!</v>
      </c>
      <c r="CU133" s="66"/>
      <c r="CV133" s="47" t="e">
        <f t="shared" si="68"/>
        <v>#REF!</v>
      </c>
      <c r="CW133" s="47"/>
      <c r="CY133" s="47" t="e">
        <f>VLOOKUP($AA133,#REF!,6,0)*(+CV133+CW133)</f>
        <v>#REF!</v>
      </c>
      <c r="CZ133" s="47" t="e">
        <f>VLOOKUP($AB133,#REF!,6,0)*(+CV133+CW133)</f>
        <v>#REF!</v>
      </c>
      <c r="DC133" s="47"/>
      <c r="DE133" s="47" t="e">
        <f t="shared" si="83"/>
        <v>#REF!</v>
      </c>
      <c r="DJ133" s="47" t="e">
        <f t="shared" si="84"/>
        <v>#REF!</v>
      </c>
      <c r="DK133" s="66"/>
      <c r="DL133" s="47" t="e">
        <f t="shared" si="86"/>
        <v>#REF!</v>
      </c>
      <c r="DM133" s="47"/>
      <c r="DO133" s="47" t="e">
        <f>VLOOKUP($AA133,#REF!,7,0)*(+DL133+DM133)</f>
        <v>#REF!</v>
      </c>
      <c r="DP133" s="47" t="e">
        <f>VLOOKUP($AB133,#REF!,7,0)*(+DL133+DM133)</f>
        <v>#REF!</v>
      </c>
      <c r="DS133" s="47"/>
      <c r="DU133" s="47" t="e">
        <f t="shared" si="87"/>
        <v>#REF!</v>
      </c>
      <c r="DZ133" s="47" t="e">
        <f t="shared" si="88"/>
        <v>#REF!</v>
      </c>
      <c r="EA133" s="66"/>
    </row>
    <row r="134" spans="1:131" x14ac:dyDescent="0.2">
      <c r="A134" s="38" t="s">
        <v>342</v>
      </c>
      <c r="B134" s="39" t="s">
        <v>55</v>
      </c>
      <c r="C134" s="39" t="s">
        <v>56</v>
      </c>
      <c r="D134" s="39"/>
      <c r="E134" s="40">
        <v>238074</v>
      </c>
      <c r="F134" s="41"/>
      <c r="G134" s="41"/>
      <c r="H134" s="41"/>
      <c r="I134" s="41">
        <v>-234959</v>
      </c>
      <c r="J134" s="41"/>
      <c r="K134" s="51"/>
      <c r="L134" s="41"/>
      <c r="M134" s="41"/>
      <c r="N134" s="41"/>
      <c r="O134" s="41"/>
      <c r="P134" s="41"/>
      <c r="Q134" s="41"/>
      <c r="R134" s="41"/>
      <c r="S134" s="41"/>
      <c r="T134" s="42">
        <f t="shared" si="71"/>
        <v>3115</v>
      </c>
      <c r="U134" s="43"/>
      <c r="V134" s="139">
        <v>3115</v>
      </c>
      <c r="W134" s="143" t="s">
        <v>368</v>
      </c>
      <c r="X134" s="143">
        <v>15</v>
      </c>
      <c r="Y134" s="171" t="s">
        <v>423</v>
      </c>
      <c r="Z134" s="171" t="s">
        <v>342</v>
      </c>
      <c r="AA134" s="44" t="s">
        <v>290</v>
      </c>
      <c r="AB134" s="188" t="s">
        <v>513</v>
      </c>
      <c r="AC134" s="10"/>
      <c r="AD134" s="13">
        <v>93.45</v>
      </c>
      <c r="AE134" s="10"/>
      <c r="AF134" s="10"/>
      <c r="AG134" s="45"/>
      <c r="AH134" s="45"/>
      <c r="AI134" s="45"/>
      <c r="AJ134" s="41"/>
      <c r="AK134" s="45"/>
      <c r="AL134" s="45"/>
      <c r="AN134" s="128">
        <v>0</v>
      </c>
      <c r="AO134" s="45"/>
      <c r="AP134" s="46">
        <f t="shared" si="72"/>
        <v>3208.45</v>
      </c>
      <c r="AQ134" s="47"/>
      <c r="AW134" s="48">
        <f t="shared" si="73"/>
        <v>3208.45</v>
      </c>
      <c r="AX134" s="66"/>
      <c r="AY134" s="47">
        <f t="shared" si="65"/>
        <v>3208.45</v>
      </c>
      <c r="AZ134" s="47"/>
      <c r="BB134" s="47" t="e">
        <f>VLOOKUP($AA134,#REF!,3,0)*(+AY134+AZ134)</f>
        <v>#REF!</v>
      </c>
      <c r="BC134" s="47" t="e">
        <f>VLOOKUP($AB134,#REF!,3,0)*(+AY134+AZ134)</f>
        <v>#REF!</v>
      </c>
      <c r="BE134" s="47"/>
      <c r="BH134" s="47" t="e">
        <f t="shared" si="75"/>
        <v>#REF!</v>
      </c>
      <c r="BM134" s="47" t="e">
        <f t="shared" si="76"/>
        <v>#REF!</v>
      </c>
      <c r="BN134" s="66"/>
      <c r="BO134" s="47" t="e">
        <f t="shared" si="66"/>
        <v>#REF!</v>
      </c>
      <c r="BP134" s="47"/>
      <c r="BR134" s="47" t="e">
        <f>VLOOKUP($AA134,#REF!,4,0)*(+BO134+BP134)</f>
        <v>#REF!</v>
      </c>
      <c r="BS134" s="47" t="e">
        <f>VLOOKUP($AB134,#REF!,4,0)*(+BO134+BP134)</f>
        <v>#REF!</v>
      </c>
      <c r="BV134" s="47"/>
      <c r="BY134" s="47" t="e">
        <f t="shared" si="63"/>
        <v>#REF!</v>
      </c>
      <c r="CD134" s="47" t="e">
        <f t="shared" si="78"/>
        <v>#REF!</v>
      </c>
      <c r="CE134" s="66"/>
      <c r="CF134" s="47" t="e">
        <f t="shared" si="67"/>
        <v>#REF!</v>
      </c>
      <c r="CG134" s="47"/>
      <c r="CI134" s="47" t="e">
        <f>VLOOKUP($AA134,#REF!,5,0)*(+CF134+CG134)</f>
        <v>#REF!</v>
      </c>
      <c r="CJ134" s="47" t="e">
        <f>VLOOKUP($AB134,#REF!,5,0)*(+CF134+CG134)</f>
        <v>#REF!</v>
      </c>
      <c r="CM134" s="47"/>
      <c r="CO134" s="47" t="e">
        <f t="shared" si="80"/>
        <v>#REF!</v>
      </c>
      <c r="CT134" s="47" t="e">
        <f t="shared" si="81"/>
        <v>#REF!</v>
      </c>
      <c r="CU134" s="66"/>
      <c r="CV134" s="47" t="e">
        <f t="shared" si="68"/>
        <v>#REF!</v>
      </c>
      <c r="CW134" s="47"/>
      <c r="CY134" s="47" t="e">
        <f>VLOOKUP($AA134,#REF!,6,0)*(+CV134+CW134)</f>
        <v>#REF!</v>
      </c>
      <c r="CZ134" s="47" t="e">
        <f>VLOOKUP($AB134,#REF!,6,0)*(+CV134+CW134)</f>
        <v>#REF!</v>
      </c>
      <c r="DC134" s="47"/>
      <c r="DE134" s="47" t="e">
        <f t="shared" si="83"/>
        <v>#REF!</v>
      </c>
      <c r="DJ134" s="47" t="e">
        <f t="shared" si="84"/>
        <v>#REF!</v>
      </c>
      <c r="DK134" s="66"/>
      <c r="DL134" s="47" t="e">
        <f t="shared" si="86"/>
        <v>#REF!</v>
      </c>
      <c r="DM134" s="47"/>
      <c r="DO134" s="47" t="e">
        <f>VLOOKUP($AA134,#REF!,7,0)*(+DL134+DM134)</f>
        <v>#REF!</v>
      </c>
      <c r="DP134" s="47" t="e">
        <f>VLOOKUP($AB134,#REF!,7,0)*(+DL134+DM134)</f>
        <v>#REF!</v>
      </c>
      <c r="DS134" s="47"/>
      <c r="DU134" s="47" t="e">
        <f t="shared" si="87"/>
        <v>#REF!</v>
      </c>
      <c r="DZ134" s="47" t="e">
        <f t="shared" si="88"/>
        <v>#REF!</v>
      </c>
      <c r="EA134" s="66"/>
    </row>
    <row r="135" spans="1:131" x14ac:dyDescent="0.2">
      <c r="A135" s="38" t="s">
        <v>376</v>
      </c>
      <c r="B135" s="39" t="s">
        <v>107</v>
      </c>
      <c r="C135" s="39" t="s">
        <v>108</v>
      </c>
      <c r="D135" s="39"/>
      <c r="E135" s="40">
        <v>95785</v>
      </c>
      <c r="F135" s="41"/>
      <c r="G135" s="41"/>
      <c r="H135" s="41"/>
      <c r="I135" s="41"/>
      <c r="J135" s="41"/>
      <c r="K135" s="51"/>
      <c r="L135" s="41"/>
      <c r="M135" s="41"/>
      <c r="N135" s="41"/>
      <c r="O135" s="41"/>
      <c r="P135" s="41"/>
      <c r="Q135" s="41"/>
      <c r="R135" s="41"/>
      <c r="S135" s="41"/>
      <c r="T135" s="42">
        <f t="shared" si="71"/>
        <v>95785</v>
      </c>
      <c r="U135" s="43"/>
      <c r="V135" s="141">
        <v>95785</v>
      </c>
      <c r="W135" s="143" t="s">
        <v>368</v>
      </c>
      <c r="X135" s="143">
        <v>8</v>
      </c>
      <c r="Y135" s="171" t="s">
        <v>423</v>
      </c>
      <c r="Z135" s="171" t="s">
        <v>342</v>
      </c>
      <c r="AA135" s="44" t="s">
        <v>290</v>
      </c>
      <c r="AB135" s="188" t="s">
        <v>513</v>
      </c>
      <c r="AC135" s="10"/>
      <c r="AD135" s="13">
        <v>2203</v>
      </c>
      <c r="AE135" s="10"/>
      <c r="AF135" s="10"/>
      <c r="AG135" s="45"/>
      <c r="AH135" s="45"/>
      <c r="AI135" s="45">
        <f>-T135*0.04</f>
        <v>-3831.4</v>
      </c>
      <c r="AJ135" s="41"/>
      <c r="AK135" s="45"/>
      <c r="AL135" s="45"/>
      <c r="AN135" s="128">
        <v>0</v>
      </c>
      <c r="AO135" s="45"/>
      <c r="AP135" s="46">
        <f t="shared" si="72"/>
        <v>94156.6</v>
      </c>
      <c r="AQ135" s="47"/>
      <c r="AW135" s="48">
        <f t="shared" si="73"/>
        <v>94156.6</v>
      </c>
      <c r="AX135" s="66"/>
      <c r="AY135" s="47">
        <f t="shared" si="65"/>
        <v>94156.6</v>
      </c>
      <c r="AZ135" s="47"/>
      <c r="BB135" s="47" t="e">
        <f>VLOOKUP($AA135,#REF!,3,0)*(+AY135+AZ135)</f>
        <v>#REF!</v>
      </c>
      <c r="BC135" s="47" t="e">
        <f>VLOOKUP($AB135,#REF!,3,0)*(+AY135+AZ135)</f>
        <v>#REF!</v>
      </c>
      <c r="BE135" s="47"/>
      <c r="BH135" s="47" t="e">
        <f t="shared" si="75"/>
        <v>#REF!</v>
      </c>
      <c r="BM135" s="47" t="e">
        <f t="shared" si="76"/>
        <v>#REF!</v>
      </c>
      <c r="BN135" s="66"/>
      <c r="BO135" s="47" t="e">
        <f t="shared" si="66"/>
        <v>#REF!</v>
      </c>
      <c r="BP135" s="47"/>
      <c r="BR135" s="47" t="e">
        <f>VLOOKUP($AA135,#REF!,4,0)*(+BO135+BP135)</f>
        <v>#REF!</v>
      </c>
      <c r="BS135" s="47" t="e">
        <f>VLOOKUP($AB135,#REF!,4,0)*(+BO135+BP135)</f>
        <v>#REF!</v>
      </c>
      <c r="BV135" s="47"/>
      <c r="BY135" s="47" t="e">
        <f t="shared" si="63"/>
        <v>#REF!</v>
      </c>
      <c r="CD135" s="47" t="e">
        <f t="shared" si="78"/>
        <v>#REF!</v>
      </c>
      <c r="CE135" s="66"/>
      <c r="CF135" s="47" t="e">
        <f t="shared" si="67"/>
        <v>#REF!</v>
      </c>
      <c r="CG135" s="47"/>
      <c r="CI135" s="47" t="e">
        <f>VLOOKUP($AA135,#REF!,5,0)*(+CF135+CG135)</f>
        <v>#REF!</v>
      </c>
      <c r="CJ135" s="47" t="e">
        <f>VLOOKUP($AB135,#REF!,5,0)*(+CF135+CG135)</f>
        <v>#REF!</v>
      </c>
      <c r="CM135" s="47"/>
      <c r="CO135" s="47" t="e">
        <f t="shared" si="80"/>
        <v>#REF!</v>
      </c>
      <c r="CT135" s="47" t="e">
        <f t="shared" si="81"/>
        <v>#REF!</v>
      </c>
      <c r="CU135" s="66"/>
      <c r="CV135" s="47" t="e">
        <f t="shared" si="68"/>
        <v>#REF!</v>
      </c>
      <c r="CW135" s="47"/>
      <c r="CY135" s="47" t="e">
        <f>VLOOKUP($AA135,#REF!,6,0)*(+CV135+CW135)</f>
        <v>#REF!</v>
      </c>
      <c r="CZ135" s="47" t="e">
        <f>VLOOKUP($AB135,#REF!,6,0)*(+CV135+CW135)</f>
        <v>#REF!</v>
      </c>
      <c r="DC135" s="47"/>
      <c r="DE135" s="47" t="e">
        <f t="shared" si="83"/>
        <v>#REF!</v>
      </c>
      <c r="DJ135" s="47" t="e">
        <f t="shared" si="84"/>
        <v>#REF!</v>
      </c>
      <c r="DK135" s="66"/>
      <c r="DL135" s="47" t="e">
        <f t="shared" si="86"/>
        <v>#REF!</v>
      </c>
      <c r="DM135" s="47"/>
      <c r="DO135" s="47" t="e">
        <f>VLOOKUP($AA135,#REF!,7,0)*(+DL135+DM135)</f>
        <v>#REF!</v>
      </c>
      <c r="DP135" s="47" t="e">
        <f>VLOOKUP($AB135,#REF!,7,0)*(+DL135+DM135)</f>
        <v>#REF!</v>
      </c>
      <c r="DS135" s="47"/>
      <c r="DU135" s="47" t="e">
        <f t="shared" si="87"/>
        <v>#REF!</v>
      </c>
      <c r="DZ135" s="47" t="e">
        <f t="shared" si="88"/>
        <v>#REF!</v>
      </c>
      <c r="EA135" s="66"/>
    </row>
    <row r="136" spans="1:131" x14ac:dyDescent="0.2">
      <c r="A136" s="38" t="s">
        <v>342</v>
      </c>
      <c r="B136" s="39" t="s">
        <v>113</v>
      </c>
      <c r="C136" s="39" t="s">
        <v>114</v>
      </c>
      <c r="D136" s="39"/>
      <c r="E136" s="40">
        <v>1824000</v>
      </c>
      <c r="F136" s="41"/>
      <c r="G136" s="41"/>
      <c r="H136" s="41"/>
      <c r="I136" s="41"/>
      <c r="J136" s="41"/>
      <c r="K136" s="51"/>
      <c r="L136" s="41"/>
      <c r="M136" s="41"/>
      <c r="N136" s="41"/>
      <c r="O136" s="41"/>
      <c r="P136" s="41"/>
      <c r="Q136" s="41"/>
      <c r="R136" s="41"/>
      <c r="S136" s="41"/>
      <c r="T136" s="42">
        <f t="shared" si="71"/>
        <v>1824000</v>
      </c>
      <c r="U136" s="43"/>
      <c r="V136" s="141">
        <v>1824000</v>
      </c>
      <c r="W136" s="143" t="s">
        <v>368</v>
      </c>
      <c r="X136" s="143">
        <v>15</v>
      </c>
      <c r="Y136" s="171" t="s">
        <v>423</v>
      </c>
      <c r="Z136" s="171" t="s">
        <v>342</v>
      </c>
      <c r="AA136" s="44" t="s">
        <v>290</v>
      </c>
      <c r="AB136" s="188" t="s">
        <v>513</v>
      </c>
      <c r="AC136" s="10"/>
      <c r="AD136" s="13">
        <v>54720</v>
      </c>
      <c r="AE136" s="10"/>
      <c r="AF136" s="10"/>
      <c r="AG136" s="45"/>
      <c r="AH136" s="45"/>
      <c r="AI136" s="45">
        <f>-T136*0.04</f>
        <v>-72960</v>
      </c>
      <c r="AJ136" s="41"/>
      <c r="AK136" s="45"/>
      <c r="AL136" s="45"/>
      <c r="AN136" s="128">
        <v>-1805760</v>
      </c>
      <c r="AO136" s="45"/>
      <c r="AP136" s="46">
        <f t="shared" si="72"/>
        <v>0</v>
      </c>
      <c r="AQ136" s="47"/>
      <c r="AW136" s="48">
        <f t="shared" si="73"/>
        <v>0</v>
      </c>
      <c r="AX136" s="66"/>
      <c r="AY136" s="47">
        <f t="shared" si="65"/>
        <v>0</v>
      </c>
      <c r="AZ136" s="47"/>
      <c r="BB136" s="47" t="e">
        <f>VLOOKUP($AA136,#REF!,3,0)*(+AY136+AZ136)</f>
        <v>#REF!</v>
      </c>
      <c r="BC136" s="47" t="e">
        <f>VLOOKUP($AB136,#REF!,3,0)*(+AY136+AZ136)</f>
        <v>#REF!</v>
      </c>
      <c r="BE136" s="47"/>
      <c r="BH136" s="47" t="e">
        <f t="shared" si="75"/>
        <v>#REF!</v>
      </c>
      <c r="BM136" s="47" t="e">
        <f t="shared" si="76"/>
        <v>#REF!</v>
      </c>
      <c r="BN136" s="66"/>
      <c r="BO136" s="47" t="e">
        <f t="shared" si="66"/>
        <v>#REF!</v>
      </c>
      <c r="BP136" s="47"/>
      <c r="BR136" s="47" t="e">
        <f>VLOOKUP($AA136,#REF!,4,0)*(+BO136+BP136)</f>
        <v>#REF!</v>
      </c>
      <c r="BS136" s="47" t="e">
        <f>VLOOKUP($AB136,#REF!,4,0)*(+BO136+BP136)</f>
        <v>#REF!</v>
      </c>
      <c r="BV136" s="47"/>
      <c r="BY136" s="47" t="e">
        <f t="shared" ref="BY136:BY177" si="89">SUM(BO136:BX136)</f>
        <v>#REF!</v>
      </c>
      <c r="CD136" s="47" t="e">
        <f t="shared" si="78"/>
        <v>#REF!</v>
      </c>
      <c r="CE136" s="66"/>
      <c r="CF136" s="47" t="e">
        <f t="shared" si="67"/>
        <v>#REF!</v>
      </c>
      <c r="CG136" s="47"/>
      <c r="CI136" s="47" t="e">
        <f>VLOOKUP($AA136,#REF!,5,0)*(+CF136+CG136)</f>
        <v>#REF!</v>
      </c>
      <c r="CJ136" s="47" t="e">
        <f>VLOOKUP($AB136,#REF!,5,0)*(+CF136+CG136)</f>
        <v>#REF!</v>
      </c>
      <c r="CM136" s="47"/>
      <c r="CO136" s="47" t="e">
        <f t="shared" si="80"/>
        <v>#REF!</v>
      </c>
      <c r="CT136" s="47" t="e">
        <f t="shared" si="81"/>
        <v>#REF!</v>
      </c>
      <c r="CU136" s="66"/>
      <c r="CV136" s="47" t="e">
        <f t="shared" si="68"/>
        <v>#REF!</v>
      </c>
      <c r="CW136" s="47"/>
      <c r="CY136" s="47" t="e">
        <f>VLOOKUP($AA136,#REF!,6,0)*(+CV136+CW136)</f>
        <v>#REF!</v>
      </c>
      <c r="CZ136" s="47" t="e">
        <f>VLOOKUP($AB136,#REF!,6,0)*(+CV136+CW136)</f>
        <v>#REF!</v>
      </c>
      <c r="DC136" s="47"/>
      <c r="DE136" s="47" t="e">
        <f t="shared" si="83"/>
        <v>#REF!</v>
      </c>
      <c r="DJ136" s="47" t="e">
        <f t="shared" si="84"/>
        <v>#REF!</v>
      </c>
      <c r="DK136" s="66"/>
      <c r="DL136" s="47" t="e">
        <f t="shared" si="86"/>
        <v>#REF!</v>
      </c>
      <c r="DM136" s="47"/>
      <c r="DO136" s="47" t="e">
        <f>VLOOKUP($AA136,#REF!,7,0)*(+DL136+DM136)</f>
        <v>#REF!</v>
      </c>
      <c r="DP136" s="47" t="e">
        <f>VLOOKUP($AB136,#REF!,7,0)*(+DL136+DM136)</f>
        <v>#REF!</v>
      </c>
      <c r="DS136" s="47"/>
      <c r="DU136" s="47" t="e">
        <f t="shared" si="87"/>
        <v>#REF!</v>
      </c>
      <c r="DZ136" s="47" t="e">
        <f t="shared" si="88"/>
        <v>#REF!</v>
      </c>
      <c r="EA136" s="66"/>
    </row>
    <row r="137" spans="1:131" x14ac:dyDescent="0.2">
      <c r="A137" s="38" t="s">
        <v>380</v>
      </c>
      <c r="B137" s="39" t="s">
        <v>211</v>
      </c>
      <c r="C137" s="39" t="s">
        <v>212</v>
      </c>
      <c r="D137" s="39"/>
      <c r="E137" s="40">
        <v>26747</v>
      </c>
      <c r="F137" s="41"/>
      <c r="G137" s="41"/>
      <c r="H137" s="41"/>
      <c r="I137" s="41">
        <v>-26747</v>
      </c>
      <c r="J137" s="41"/>
      <c r="K137" s="51"/>
      <c r="L137" s="41"/>
      <c r="M137" s="41"/>
      <c r="N137" s="41"/>
      <c r="O137" s="41"/>
      <c r="P137" s="41"/>
      <c r="Q137" s="41"/>
      <c r="R137" s="41"/>
      <c r="S137" s="41"/>
      <c r="T137" s="42">
        <f t="shared" ref="T137:T177" si="90">SUM(E137:S137)</f>
        <v>0</v>
      </c>
      <c r="U137" s="43"/>
      <c r="V137" s="139">
        <v>0</v>
      </c>
      <c r="W137" s="143" t="s">
        <v>368</v>
      </c>
      <c r="X137" s="143">
        <v>11</v>
      </c>
      <c r="Y137" s="171" t="s">
        <v>423</v>
      </c>
      <c r="Z137" s="171" t="s">
        <v>342</v>
      </c>
      <c r="AA137" s="44" t="s">
        <v>290</v>
      </c>
      <c r="AB137" s="188" t="s">
        <v>513</v>
      </c>
      <c r="AC137" s="10"/>
      <c r="AD137" s="13">
        <v>0</v>
      </c>
      <c r="AE137" s="10"/>
      <c r="AF137" s="10"/>
      <c r="AG137" s="45"/>
      <c r="AH137" s="45"/>
      <c r="AI137" s="45"/>
      <c r="AJ137" s="41"/>
      <c r="AK137" s="45"/>
      <c r="AL137" s="45"/>
      <c r="AN137" s="128">
        <v>0</v>
      </c>
      <c r="AO137" s="45"/>
      <c r="AP137" s="46">
        <f t="shared" ref="AP137:AP175" si="91">SUM(AC137:AO137)+V137</f>
        <v>0</v>
      </c>
      <c r="AQ137" s="47"/>
      <c r="AW137" s="48">
        <f t="shared" ref="AW137:AW175" si="92">SUM(AP137:AV137)</f>
        <v>0</v>
      </c>
      <c r="AX137" s="66"/>
      <c r="AY137" s="47">
        <f t="shared" ref="AY137:AY177" si="93">+AP137-AC137</f>
        <v>0</v>
      </c>
      <c r="AZ137" s="47"/>
      <c r="BB137" s="47" t="e">
        <f>VLOOKUP($AA137,#REF!,3,0)*(+AY137+AZ137)</f>
        <v>#REF!</v>
      </c>
      <c r="BC137" s="47" t="e">
        <f>VLOOKUP($AB137,#REF!,3,0)*(+AY137+AZ137)</f>
        <v>#REF!</v>
      </c>
      <c r="BE137" s="47"/>
      <c r="BH137" s="47" t="e">
        <f t="shared" si="75"/>
        <v>#REF!</v>
      </c>
      <c r="BM137" s="47" t="e">
        <f t="shared" si="76"/>
        <v>#REF!</v>
      </c>
      <c r="BN137" s="66"/>
      <c r="BO137" s="47" t="e">
        <f t="shared" ref="BO137:BO177" si="94">+BH137-BA137</f>
        <v>#REF!</v>
      </c>
      <c r="BP137" s="47"/>
      <c r="BR137" s="47" t="e">
        <f>VLOOKUP($AA137,#REF!,4,0)*(+BO137+BP137)</f>
        <v>#REF!</v>
      </c>
      <c r="BS137" s="47" t="e">
        <f>VLOOKUP($AB137,#REF!,4,0)*(+BO137+BP137)</f>
        <v>#REF!</v>
      </c>
      <c r="BV137" s="47"/>
      <c r="BY137" s="47" t="e">
        <f t="shared" si="89"/>
        <v>#REF!</v>
      </c>
      <c r="CD137" s="47" t="e">
        <f t="shared" si="78"/>
        <v>#REF!</v>
      </c>
      <c r="CE137" s="66"/>
      <c r="CF137" s="47" t="e">
        <f t="shared" ref="CF137:CF177" si="95">+BY137-BQ137</f>
        <v>#REF!</v>
      </c>
      <c r="CG137" s="47"/>
      <c r="CI137" s="47" t="e">
        <f>VLOOKUP($AA137,#REF!,5,0)*(+CF137+CG137)</f>
        <v>#REF!</v>
      </c>
      <c r="CJ137" s="47" t="e">
        <f>VLOOKUP($AB137,#REF!,5,0)*(+CF137+CG137)</f>
        <v>#REF!</v>
      </c>
      <c r="CM137" s="47"/>
      <c r="CO137" s="47" t="e">
        <f t="shared" si="80"/>
        <v>#REF!</v>
      </c>
      <c r="CT137" s="47" t="e">
        <f t="shared" si="81"/>
        <v>#REF!</v>
      </c>
      <c r="CU137" s="66"/>
      <c r="CV137" s="47" t="e">
        <f t="shared" ref="CV137:CV177" si="96">+CO137-CH137</f>
        <v>#REF!</v>
      </c>
      <c r="CW137" s="47"/>
      <c r="CY137" s="47" t="e">
        <f>VLOOKUP($AA137,#REF!,6,0)*(+CV137+CW137)</f>
        <v>#REF!</v>
      </c>
      <c r="CZ137" s="47" t="e">
        <f>VLOOKUP($AB137,#REF!,6,0)*(+CV137+CW137)</f>
        <v>#REF!</v>
      </c>
      <c r="DC137" s="47"/>
      <c r="DE137" s="47" t="e">
        <f t="shared" si="83"/>
        <v>#REF!</v>
      </c>
      <c r="DJ137" s="47" t="e">
        <f t="shared" si="84"/>
        <v>#REF!</v>
      </c>
      <c r="DK137" s="66"/>
      <c r="DL137" s="47" t="e">
        <f t="shared" si="86"/>
        <v>#REF!</v>
      </c>
      <c r="DM137" s="47"/>
      <c r="DO137" s="47" t="e">
        <f>VLOOKUP($AA137,#REF!,7,0)*(+DL137+DM137)</f>
        <v>#REF!</v>
      </c>
      <c r="DP137" s="47" t="e">
        <f>VLOOKUP($AB137,#REF!,7,0)*(+DL137+DM137)</f>
        <v>#REF!</v>
      </c>
      <c r="DS137" s="47"/>
      <c r="DU137" s="47" t="e">
        <f t="shared" si="87"/>
        <v>#REF!</v>
      </c>
      <c r="DZ137" s="47" t="e">
        <f t="shared" si="88"/>
        <v>#REF!</v>
      </c>
      <c r="EA137" s="66"/>
    </row>
    <row r="138" spans="1:131" x14ac:dyDescent="0.2">
      <c r="A138" s="38" t="s">
        <v>380</v>
      </c>
      <c r="B138" s="39" t="s">
        <v>235</v>
      </c>
      <c r="C138" s="39" t="s">
        <v>236</v>
      </c>
      <c r="D138" s="39"/>
      <c r="E138" s="40">
        <v>23000</v>
      </c>
      <c r="F138" s="41"/>
      <c r="G138" s="41"/>
      <c r="H138" s="41"/>
      <c r="I138" s="41"/>
      <c r="J138" s="41"/>
      <c r="K138" s="51"/>
      <c r="L138" s="41"/>
      <c r="M138" s="41"/>
      <c r="N138" s="41"/>
      <c r="O138" s="41"/>
      <c r="P138" s="41"/>
      <c r="Q138" s="41"/>
      <c r="R138" s="41"/>
      <c r="S138" s="41"/>
      <c r="T138" s="42">
        <f t="shared" si="90"/>
        <v>23000</v>
      </c>
      <c r="U138" s="43"/>
      <c r="V138" s="139">
        <v>23000</v>
      </c>
      <c r="W138" s="143" t="s">
        <v>368</v>
      </c>
      <c r="X138" s="143">
        <v>11</v>
      </c>
      <c r="Y138" s="171" t="s">
        <v>423</v>
      </c>
      <c r="Z138" s="171" t="s">
        <v>342</v>
      </c>
      <c r="AA138" s="44" t="s">
        <v>290</v>
      </c>
      <c r="AB138" s="188" t="s">
        <v>513</v>
      </c>
      <c r="AC138" s="10"/>
      <c r="AD138" s="13">
        <v>690</v>
      </c>
      <c r="AE138" s="10"/>
      <c r="AF138" s="10"/>
      <c r="AG138" s="45"/>
      <c r="AH138" s="45"/>
      <c r="AI138" s="45"/>
      <c r="AJ138" s="41"/>
      <c r="AK138" s="45"/>
      <c r="AL138" s="45"/>
      <c r="AN138" s="128">
        <v>0</v>
      </c>
      <c r="AO138" s="45"/>
      <c r="AP138" s="46">
        <f t="shared" si="91"/>
        <v>23690</v>
      </c>
      <c r="AQ138" s="47"/>
      <c r="AW138" s="48">
        <f t="shared" si="92"/>
        <v>23690</v>
      </c>
      <c r="AX138" s="66"/>
      <c r="AY138" s="47">
        <f t="shared" si="93"/>
        <v>23690</v>
      </c>
      <c r="AZ138" s="47"/>
      <c r="BB138" s="47" t="e">
        <f>VLOOKUP($AA138,#REF!,3,0)*(+AY138+AZ138)</f>
        <v>#REF!</v>
      </c>
      <c r="BC138" s="47" t="e">
        <f>VLOOKUP($AB138,#REF!,3,0)*(+AY138+AZ138)</f>
        <v>#REF!</v>
      </c>
      <c r="BE138" s="47"/>
      <c r="BH138" s="47" t="e">
        <f t="shared" si="75"/>
        <v>#REF!</v>
      </c>
      <c r="BM138" s="47" t="e">
        <f t="shared" si="76"/>
        <v>#REF!</v>
      </c>
      <c r="BN138" s="66"/>
      <c r="BO138" s="47" t="e">
        <f t="shared" si="94"/>
        <v>#REF!</v>
      </c>
      <c r="BP138" s="47"/>
      <c r="BR138" s="47" t="e">
        <f>VLOOKUP($AA138,#REF!,4,0)*(+BO138+BP138)</f>
        <v>#REF!</v>
      </c>
      <c r="BS138" s="47" t="e">
        <f>VLOOKUP($AB138,#REF!,4,0)*(+BO138+BP138)</f>
        <v>#REF!</v>
      </c>
      <c r="BV138" s="47"/>
      <c r="BY138" s="47" t="e">
        <f t="shared" si="89"/>
        <v>#REF!</v>
      </c>
      <c r="CD138" s="47" t="e">
        <f t="shared" si="78"/>
        <v>#REF!</v>
      </c>
      <c r="CE138" s="66"/>
      <c r="CF138" s="47" t="e">
        <f t="shared" si="95"/>
        <v>#REF!</v>
      </c>
      <c r="CG138" s="47"/>
      <c r="CI138" s="47" t="e">
        <f>VLOOKUP($AA138,#REF!,5,0)*(+CF138+CG138)</f>
        <v>#REF!</v>
      </c>
      <c r="CJ138" s="47" t="e">
        <f>VLOOKUP($AB138,#REF!,5,0)*(+CF138+CG138)</f>
        <v>#REF!</v>
      </c>
      <c r="CM138" s="47"/>
      <c r="CO138" s="47" t="e">
        <f t="shared" si="80"/>
        <v>#REF!</v>
      </c>
      <c r="CT138" s="47" t="e">
        <f t="shared" si="81"/>
        <v>#REF!</v>
      </c>
      <c r="CU138" s="66"/>
      <c r="CV138" s="47" t="e">
        <f t="shared" si="96"/>
        <v>#REF!</v>
      </c>
      <c r="CW138" s="47"/>
      <c r="CY138" s="47" t="e">
        <f>VLOOKUP($AA138,#REF!,6,0)*(+CV138+CW138)</f>
        <v>#REF!</v>
      </c>
      <c r="CZ138" s="47" t="e">
        <f>VLOOKUP($AB138,#REF!,6,0)*(+CV138+CW138)</f>
        <v>#REF!</v>
      </c>
      <c r="DC138" s="47"/>
      <c r="DE138" s="47" t="e">
        <f t="shared" si="83"/>
        <v>#REF!</v>
      </c>
      <c r="DJ138" s="47" t="e">
        <f t="shared" si="84"/>
        <v>#REF!</v>
      </c>
      <c r="DK138" s="66"/>
      <c r="DL138" s="47" t="e">
        <f t="shared" si="86"/>
        <v>#REF!</v>
      </c>
      <c r="DM138" s="47"/>
      <c r="DO138" s="47" t="e">
        <f>VLOOKUP($AA138,#REF!,7,0)*(+DL138+DM138)</f>
        <v>#REF!</v>
      </c>
      <c r="DP138" s="47" t="e">
        <f>VLOOKUP($AB138,#REF!,7,0)*(+DL138+DM138)</f>
        <v>#REF!</v>
      </c>
      <c r="DS138" s="47"/>
      <c r="DU138" s="47" t="e">
        <f t="shared" si="87"/>
        <v>#REF!</v>
      </c>
      <c r="DZ138" s="47" t="e">
        <f t="shared" si="88"/>
        <v>#REF!</v>
      </c>
      <c r="EA138" s="66"/>
    </row>
    <row r="139" spans="1:131" x14ac:dyDescent="0.2">
      <c r="A139" s="38" t="s">
        <v>380</v>
      </c>
      <c r="B139" s="39" t="s">
        <v>237</v>
      </c>
      <c r="C139" s="39" t="s">
        <v>238</v>
      </c>
      <c r="D139" s="39"/>
      <c r="E139" s="40">
        <v>8000</v>
      </c>
      <c r="F139" s="41"/>
      <c r="G139" s="41"/>
      <c r="H139" s="41"/>
      <c r="I139" s="41"/>
      <c r="J139" s="41"/>
      <c r="K139" s="51"/>
      <c r="L139" s="41"/>
      <c r="M139" s="41"/>
      <c r="N139" s="41"/>
      <c r="O139" s="41"/>
      <c r="P139" s="41"/>
      <c r="Q139" s="41"/>
      <c r="R139" s="41"/>
      <c r="S139" s="41"/>
      <c r="T139" s="42">
        <f t="shared" si="90"/>
        <v>8000</v>
      </c>
      <c r="U139" s="43"/>
      <c r="V139" s="139">
        <v>8000</v>
      </c>
      <c r="W139" s="143" t="s">
        <v>368</v>
      </c>
      <c r="X139" s="143">
        <v>11</v>
      </c>
      <c r="Y139" s="171" t="s">
        <v>423</v>
      </c>
      <c r="Z139" s="171" t="s">
        <v>342</v>
      </c>
      <c r="AA139" s="44" t="s">
        <v>290</v>
      </c>
      <c r="AB139" s="188" t="s">
        <v>513</v>
      </c>
      <c r="AC139" s="10"/>
      <c r="AD139" s="13">
        <v>240</v>
      </c>
      <c r="AE139" s="10"/>
      <c r="AF139" s="10"/>
      <c r="AG139" s="45"/>
      <c r="AH139" s="45"/>
      <c r="AI139" s="45"/>
      <c r="AJ139" s="41"/>
      <c r="AK139" s="45"/>
      <c r="AL139" s="45"/>
      <c r="AN139" s="128">
        <v>0</v>
      </c>
      <c r="AO139" s="45"/>
      <c r="AP139" s="46">
        <f t="shared" si="91"/>
        <v>8240</v>
      </c>
      <c r="AQ139" s="47"/>
      <c r="AW139" s="48">
        <f t="shared" si="92"/>
        <v>8240</v>
      </c>
      <c r="AX139" s="66"/>
      <c r="AY139" s="47">
        <f t="shared" si="93"/>
        <v>8240</v>
      </c>
      <c r="AZ139" s="47"/>
      <c r="BB139" s="47" t="e">
        <f>VLOOKUP($AA139,#REF!,3,0)*(+AY139+AZ139)</f>
        <v>#REF!</v>
      </c>
      <c r="BC139" s="47" t="e">
        <f>VLOOKUP($AB139,#REF!,3,0)*(+AY139+AZ139)</f>
        <v>#REF!</v>
      </c>
      <c r="BE139" s="47"/>
      <c r="BH139" s="47" t="e">
        <f t="shared" si="75"/>
        <v>#REF!</v>
      </c>
      <c r="BM139" s="47" t="e">
        <f t="shared" si="76"/>
        <v>#REF!</v>
      </c>
      <c r="BN139" s="66"/>
      <c r="BO139" s="47" t="e">
        <f t="shared" si="94"/>
        <v>#REF!</v>
      </c>
      <c r="BP139" s="47"/>
      <c r="BR139" s="47" t="e">
        <f>VLOOKUP($AA139,#REF!,4,0)*(+BO139+BP139)</f>
        <v>#REF!</v>
      </c>
      <c r="BS139" s="47" t="e">
        <f>VLOOKUP($AB139,#REF!,4,0)*(+BO139+BP139)</f>
        <v>#REF!</v>
      </c>
      <c r="BV139" s="47"/>
      <c r="BY139" s="47" t="e">
        <f t="shared" si="89"/>
        <v>#REF!</v>
      </c>
      <c r="CD139" s="47" t="e">
        <f t="shared" si="78"/>
        <v>#REF!</v>
      </c>
      <c r="CE139" s="66"/>
      <c r="CF139" s="47" t="e">
        <f t="shared" si="95"/>
        <v>#REF!</v>
      </c>
      <c r="CG139" s="47"/>
      <c r="CI139" s="47" t="e">
        <f>VLOOKUP($AA139,#REF!,5,0)*(+CF139+CG139)</f>
        <v>#REF!</v>
      </c>
      <c r="CJ139" s="47" t="e">
        <f>VLOOKUP($AB139,#REF!,5,0)*(+CF139+CG139)</f>
        <v>#REF!</v>
      </c>
      <c r="CM139" s="47"/>
      <c r="CO139" s="47" t="e">
        <f t="shared" si="80"/>
        <v>#REF!</v>
      </c>
      <c r="CT139" s="47" t="e">
        <f t="shared" si="81"/>
        <v>#REF!</v>
      </c>
      <c r="CU139" s="66"/>
      <c r="CV139" s="47" t="e">
        <f t="shared" si="96"/>
        <v>#REF!</v>
      </c>
      <c r="CW139" s="47"/>
      <c r="CY139" s="47" t="e">
        <f>VLOOKUP($AA139,#REF!,6,0)*(+CV139+CW139)</f>
        <v>#REF!</v>
      </c>
      <c r="CZ139" s="47" t="e">
        <f>VLOOKUP($AB139,#REF!,6,0)*(+CV139+CW139)</f>
        <v>#REF!</v>
      </c>
      <c r="DC139" s="47"/>
      <c r="DE139" s="47" t="e">
        <f t="shared" si="83"/>
        <v>#REF!</v>
      </c>
      <c r="DJ139" s="47" t="e">
        <f t="shared" si="84"/>
        <v>#REF!</v>
      </c>
      <c r="DK139" s="66"/>
      <c r="DL139" s="47" t="e">
        <f t="shared" si="86"/>
        <v>#REF!</v>
      </c>
      <c r="DM139" s="47"/>
      <c r="DO139" s="47" t="e">
        <f>VLOOKUP($AA139,#REF!,7,0)*(+DL139+DM139)</f>
        <v>#REF!</v>
      </c>
      <c r="DP139" s="47" t="e">
        <f>VLOOKUP($AB139,#REF!,7,0)*(+DL139+DM139)</f>
        <v>#REF!</v>
      </c>
      <c r="DS139" s="47"/>
      <c r="DU139" s="47" t="e">
        <f t="shared" si="87"/>
        <v>#REF!</v>
      </c>
      <c r="DZ139" s="47" t="e">
        <f t="shared" si="88"/>
        <v>#REF!</v>
      </c>
      <c r="EA139" s="66"/>
    </row>
    <row r="140" spans="1:131" x14ac:dyDescent="0.2">
      <c r="A140" s="38" t="s">
        <v>380</v>
      </c>
      <c r="B140" s="39" t="s">
        <v>239</v>
      </c>
      <c r="C140" s="39" t="s">
        <v>240</v>
      </c>
      <c r="D140" s="39"/>
      <c r="E140" s="40">
        <v>38614</v>
      </c>
      <c r="F140" s="41"/>
      <c r="G140" s="41"/>
      <c r="H140" s="41"/>
      <c r="I140" s="41"/>
      <c r="J140" s="41"/>
      <c r="K140" s="51"/>
      <c r="L140" s="41"/>
      <c r="M140" s="41"/>
      <c r="N140" s="41"/>
      <c r="O140" s="41"/>
      <c r="P140" s="41"/>
      <c r="Q140" s="41"/>
      <c r="R140" s="41"/>
      <c r="S140" s="41"/>
      <c r="T140" s="42">
        <f t="shared" si="90"/>
        <v>38614</v>
      </c>
      <c r="U140" s="43"/>
      <c r="V140" s="139">
        <v>38614</v>
      </c>
      <c r="W140" s="143" t="s">
        <v>368</v>
      </c>
      <c r="X140" s="143">
        <v>11</v>
      </c>
      <c r="Y140" s="171" t="s">
        <v>423</v>
      </c>
      <c r="Z140" s="171" t="s">
        <v>342</v>
      </c>
      <c r="AA140" s="44" t="s">
        <v>290</v>
      </c>
      <c r="AB140" s="188" t="s">
        <v>513</v>
      </c>
      <c r="AC140" s="10"/>
      <c r="AD140" s="13">
        <v>1158.4199999999998</v>
      </c>
      <c r="AE140" s="10"/>
      <c r="AF140" s="10"/>
      <c r="AG140" s="45"/>
      <c r="AH140" s="45"/>
      <c r="AI140" s="45"/>
      <c r="AJ140" s="41"/>
      <c r="AK140" s="45"/>
      <c r="AL140" s="45"/>
      <c r="AN140" s="128">
        <v>0</v>
      </c>
      <c r="AO140" s="45"/>
      <c r="AP140" s="46">
        <f t="shared" si="91"/>
        <v>39772.42</v>
      </c>
      <c r="AQ140" s="47"/>
      <c r="AW140" s="48">
        <f t="shared" si="92"/>
        <v>39772.42</v>
      </c>
      <c r="AX140" s="66"/>
      <c r="AY140" s="47">
        <f t="shared" si="93"/>
        <v>39772.42</v>
      </c>
      <c r="AZ140" s="47"/>
      <c r="BB140" s="47" t="e">
        <f>VLOOKUP($AA140,#REF!,3,0)*(+AY140+AZ140)</f>
        <v>#REF!</v>
      </c>
      <c r="BC140" s="47" t="e">
        <f>VLOOKUP($AB140,#REF!,3,0)*(+AY140+AZ140)</f>
        <v>#REF!</v>
      </c>
      <c r="BE140" s="47"/>
      <c r="BH140" s="47" t="e">
        <f t="shared" si="75"/>
        <v>#REF!</v>
      </c>
      <c r="BM140" s="47" t="e">
        <f t="shared" si="76"/>
        <v>#REF!</v>
      </c>
      <c r="BN140" s="66"/>
      <c r="BO140" s="47" t="e">
        <f t="shared" si="94"/>
        <v>#REF!</v>
      </c>
      <c r="BP140" s="47"/>
      <c r="BR140" s="47" t="e">
        <f>VLOOKUP($AA140,#REF!,4,0)*(+BO140+BP140)</f>
        <v>#REF!</v>
      </c>
      <c r="BS140" s="47" t="e">
        <f>VLOOKUP($AB140,#REF!,4,0)*(+BO140+BP140)</f>
        <v>#REF!</v>
      </c>
      <c r="BV140" s="47"/>
      <c r="BY140" s="47" t="e">
        <f t="shared" si="89"/>
        <v>#REF!</v>
      </c>
      <c r="CD140" s="47" t="e">
        <f t="shared" si="78"/>
        <v>#REF!</v>
      </c>
      <c r="CE140" s="66"/>
      <c r="CF140" s="47" t="e">
        <f t="shared" si="95"/>
        <v>#REF!</v>
      </c>
      <c r="CG140" s="47"/>
      <c r="CI140" s="47" t="e">
        <f>VLOOKUP($AA140,#REF!,5,0)*(+CF140+CG140)</f>
        <v>#REF!</v>
      </c>
      <c r="CJ140" s="47" t="e">
        <f>VLOOKUP($AB140,#REF!,5,0)*(+CF140+CG140)</f>
        <v>#REF!</v>
      </c>
      <c r="CM140" s="47"/>
      <c r="CO140" s="47" t="e">
        <f t="shared" si="80"/>
        <v>#REF!</v>
      </c>
      <c r="CT140" s="47" t="e">
        <f t="shared" si="81"/>
        <v>#REF!</v>
      </c>
      <c r="CU140" s="66"/>
      <c r="CV140" s="47" t="e">
        <f t="shared" si="96"/>
        <v>#REF!</v>
      </c>
      <c r="CW140" s="47"/>
      <c r="CY140" s="47" t="e">
        <f>VLOOKUP($AA140,#REF!,6,0)*(+CV140+CW140)</f>
        <v>#REF!</v>
      </c>
      <c r="CZ140" s="47" t="e">
        <f>VLOOKUP($AB140,#REF!,6,0)*(+CV140+CW140)</f>
        <v>#REF!</v>
      </c>
      <c r="DC140" s="47"/>
      <c r="DE140" s="47" t="e">
        <f t="shared" si="83"/>
        <v>#REF!</v>
      </c>
      <c r="DJ140" s="47" t="e">
        <f t="shared" si="84"/>
        <v>#REF!</v>
      </c>
      <c r="DK140" s="66"/>
      <c r="DL140" s="47" t="e">
        <f t="shared" si="86"/>
        <v>#REF!</v>
      </c>
      <c r="DM140" s="47"/>
      <c r="DO140" s="47" t="e">
        <f>VLOOKUP($AA140,#REF!,7,0)*(+DL140+DM140)</f>
        <v>#REF!</v>
      </c>
      <c r="DP140" s="47" t="e">
        <f>VLOOKUP($AB140,#REF!,7,0)*(+DL140+DM140)</f>
        <v>#REF!</v>
      </c>
      <c r="DS140" s="47"/>
      <c r="DU140" s="47" t="e">
        <f t="shared" si="87"/>
        <v>#REF!</v>
      </c>
      <c r="DZ140" s="47" t="e">
        <f t="shared" si="88"/>
        <v>#REF!</v>
      </c>
      <c r="EA140" s="66"/>
    </row>
    <row r="141" spans="1:131" x14ac:dyDescent="0.2">
      <c r="A141" s="38" t="s">
        <v>380</v>
      </c>
      <c r="B141" s="39" t="s">
        <v>249</v>
      </c>
      <c r="C141" s="49" t="s">
        <v>336</v>
      </c>
      <c r="D141" s="49" t="s">
        <v>329</v>
      </c>
      <c r="E141" s="40"/>
      <c r="F141" s="41"/>
      <c r="G141" s="41"/>
      <c r="H141" s="41"/>
      <c r="I141" s="41"/>
      <c r="J141" s="41"/>
      <c r="K141" s="51"/>
      <c r="L141" s="41"/>
      <c r="M141" s="41"/>
      <c r="N141" s="41"/>
      <c r="O141" s="41"/>
      <c r="P141" s="41"/>
      <c r="Q141" s="41"/>
      <c r="R141" s="41"/>
      <c r="S141" s="41"/>
      <c r="T141" s="42">
        <f t="shared" si="90"/>
        <v>0</v>
      </c>
      <c r="U141" s="43"/>
      <c r="V141" s="139">
        <v>0</v>
      </c>
      <c r="W141" s="143" t="s">
        <v>368</v>
      </c>
      <c r="X141" s="143">
        <v>11</v>
      </c>
      <c r="Y141" s="171" t="s">
        <v>423</v>
      </c>
      <c r="Z141" s="171" t="s">
        <v>342</v>
      </c>
      <c r="AA141" s="44" t="s">
        <v>290</v>
      </c>
      <c r="AB141" s="188" t="s">
        <v>513</v>
      </c>
      <c r="AC141" s="10"/>
      <c r="AD141" s="13"/>
      <c r="AE141" s="10"/>
      <c r="AF141" s="10"/>
      <c r="AG141" s="45"/>
      <c r="AH141" s="45">
        <v>754000</v>
      </c>
      <c r="AI141" s="45"/>
      <c r="AJ141" s="41"/>
      <c r="AK141" s="45"/>
      <c r="AL141" s="45"/>
      <c r="AN141" s="128">
        <v>0</v>
      </c>
      <c r="AO141" s="45"/>
      <c r="AP141" s="46">
        <f t="shared" si="91"/>
        <v>754000</v>
      </c>
      <c r="AQ141" s="47"/>
      <c r="AR141" s="55"/>
      <c r="AS141" s="55"/>
      <c r="AW141" s="48">
        <f t="shared" si="92"/>
        <v>754000</v>
      </c>
      <c r="AX141" s="66"/>
      <c r="AY141" s="47">
        <f t="shared" si="93"/>
        <v>754000</v>
      </c>
      <c r="AZ141" s="47">
        <v>-754000</v>
      </c>
      <c r="BB141" s="47" t="e">
        <f>VLOOKUP($AA141,#REF!,3,0)*(+AY141+AZ141)</f>
        <v>#REF!</v>
      </c>
      <c r="BC141" s="47" t="e">
        <f>VLOOKUP($AB141,#REF!,3,0)*(+AY141+AZ141)</f>
        <v>#REF!</v>
      </c>
      <c r="BE141" s="47"/>
      <c r="BH141" s="47" t="e">
        <f t="shared" si="75"/>
        <v>#REF!</v>
      </c>
      <c r="BM141" s="47" t="e">
        <f t="shared" si="76"/>
        <v>#REF!</v>
      </c>
      <c r="BN141" s="66"/>
      <c r="BO141" s="47" t="e">
        <f t="shared" si="94"/>
        <v>#REF!</v>
      </c>
      <c r="BP141" s="47"/>
      <c r="BR141" s="47" t="e">
        <f>VLOOKUP($AA141,#REF!,4,0)*(+BO141+BP141)</f>
        <v>#REF!</v>
      </c>
      <c r="BS141" s="47" t="e">
        <f>VLOOKUP($AB141,#REF!,4,0)*(+BO141+BP141)</f>
        <v>#REF!</v>
      </c>
      <c r="BV141" s="47"/>
      <c r="BY141" s="47" t="e">
        <f t="shared" si="89"/>
        <v>#REF!</v>
      </c>
      <c r="CD141" s="47" t="e">
        <f t="shared" si="78"/>
        <v>#REF!</v>
      </c>
      <c r="CE141" s="66"/>
      <c r="CF141" s="47" t="e">
        <f t="shared" si="95"/>
        <v>#REF!</v>
      </c>
      <c r="CG141" s="47"/>
      <c r="CI141" s="47" t="e">
        <f>VLOOKUP($AA141,#REF!,5,0)*(+CF141+CG141)</f>
        <v>#REF!</v>
      </c>
      <c r="CJ141" s="47" t="e">
        <f>VLOOKUP($AB141,#REF!,5,0)*(+CF141+CG141)</f>
        <v>#REF!</v>
      </c>
      <c r="CM141" s="47"/>
      <c r="CO141" s="47" t="e">
        <f t="shared" si="80"/>
        <v>#REF!</v>
      </c>
      <c r="CT141" s="47" t="e">
        <f t="shared" si="81"/>
        <v>#REF!</v>
      </c>
      <c r="CU141" s="66"/>
      <c r="CV141" s="47" t="e">
        <f t="shared" si="96"/>
        <v>#REF!</v>
      </c>
      <c r="CW141" s="47"/>
      <c r="CY141" s="47" t="e">
        <f>VLOOKUP($AA141,#REF!,6,0)*(+CV141+CW141)</f>
        <v>#REF!</v>
      </c>
      <c r="CZ141" s="47" t="e">
        <f>VLOOKUP($AB141,#REF!,6,0)*(+CV141+CW141)</f>
        <v>#REF!</v>
      </c>
      <c r="DC141" s="47"/>
      <c r="DE141" s="47" t="e">
        <f t="shared" si="83"/>
        <v>#REF!</v>
      </c>
      <c r="DJ141" s="47" t="e">
        <f t="shared" si="84"/>
        <v>#REF!</v>
      </c>
      <c r="DK141" s="66"/>
      <c r="DL141" s="47" t="e">
        <f t="shared" si="86"/>
        <v>#REF!</v>
      </c>
      <c r="DM141" s="47"/>
      <c r="DO141" s="47" t="e">
        <f>VLOOKUP($AA141,#REF!,7,0)*(+DL141+DM141)</f>
        <v>#REF!</v>
      </c>
      <c r="DP141" s="47" t="e">
        <f>VLOOKUP($AB141,#REF!,7,0)*(+DL141+DM141)</f>
        <v>#REF!</v>
      </c>
      <c r="DS141" s="47"/>
      <c r="DU141" s="47" t="e">
        <f t="shared" si="87"/>
        <v>#REF!</v>
      </c>
      <c r="DZ141" s="47" t="e">
        <f t="shared" si="88"/>
        <v>#REF!</v>
      </c>
      <c r="EA141" s="66"/>
    </row>
    <row r="142" spans="1:131" x14ac:dyDescent="0.2">
      <c r="A142" s="38" t="s">
        <v>380</v>
      </c>
      <c r="B142" s="39" t="s">
        <v>249</v>
      </c>
      <c r="C142" s="39" t="s">
        <v>250</v>
      </c>
      <c r="D142" s="39"/>
      <c r="E142" s="40">
        <v>10791197</v>
      </c>
      <c r="F142" s="41">
        <f>-250169+3000000-282000-3621000-525000+15286+15000-2146000+55000-226314</f>
        <v>-3965197</v>
      </c>
      <c r="G142" s="41"/>
      <c r="H142" s="41"/>
      <c r="I142" s="41">
        <v>-2750000</v>
      </c>
      <c r="J142" s="41"/>
      <c r="K142" s="51"/>
      <c r="L142" s="41"/>
      <c r="M142" s="41"/>
      <c r="N142" s="41"/>
      <c r="O142" s="41"/>
      <c r="P142" s="41"/>
      <c r="Q142" s="41">
        <f>86000-1170000</f>
        <v>-1084000</v>
      </c>
      <c r="R142" s="41">
        <v>-2992000</v>
      </c>
      <c r="S142" s="41"/>
      <c r="T142" s="42">
        <f t="shared" si="90"/>
        <v>0</v>
      </c>
      <c r="U142" s="43"/>
      <c r="V142" s="139">
        <v>0</v>
      </c>
      <c r="W142" s="143" t="s">
        <v>368</v>
      </c>
      <c r="X142" s="143">
        <v>11</v>
      </c>
      <c r="Y142" s="171" t="s">
        <v>423</v>
      </c>
      <c r="Z142" s="171" t="s">
        <v>342</v>
      </c>
      <c r="AA142" s="44" t="s">
        <v>290</v>
      </c>
      <c r="AB142" s="188" t="s">
        <v>513</v>
      </c>
      <c r="AC142" s="10"/>
      <c r="AD142" s="13">
        <v>0</v>
      </c>
      <c r="AE142" s="10"/>
      <c r="AF142" s="10"/>
      <c r="AG142" s="45">
        <f>1000000+500000+600000+8000+100000+18500+265000+250000-541500</f>
        <v>2200000</v>
      </c>
      <c r="AH142" s="45"/>
      <c r="AI142" s="45"/>
      <c r="AJ142" s="41"/>
      <c r="AK142" s="45"/>
      <c r="AL142" s="45"/>
      <c r="AN142" s="128">
        <v>0</v>
      </c>
      <c r="AO142" s="45"/>
      <c r="AP142" s="46">
        <f t="shared" si="91"/>
        <v>2200000</v>
      </c>
      <c r="AQ142" s="47"/>
      <c r="AR142" s="55">
        <v>2400000</v>
      </c>
      <c r="AS142" s="55">
        <v>4600000</v>
      </c>
      <c r="AW142" s="48">
        <f t="shared" si="92"/>
        <v>9200000</v>
      </c>
      <c r="AX142" s="66"/>
      <c r="AY142" s="47">
        <f t="shared" si="93"/>
        <v>2200000</v>
      </c>
      <c r="AZ142" s="244">
        <v>-340000</v>
      </c>
      <c r="BB142" s="47" t="e">
        <f>VLOOKUP($AA142,#REF!,3,0)*(+AY142+AZ142)</f>
        <v>#REF!</v>
      </c>
      <c r="BC142" s="47" t="e">
        <f>VLOOKUP($AB142,#REF!,3,0)*(+AY142+AZ142)</f>
        <v>#REF!</v>
      </c>
      <c r="BE142" s="47"/>
      <c r="BH142" s="47" t="e">
        <f t="shared" si="75"/>
        <v>#REF!</v>
      </c>
      <c r="BI142" s="47" t="e">
        <f>(+BH188+BH189)*#REF!</f>
        <v>#REF!</v>
      </c>
      <c r="BM142" s="47" t="e">
        <f t="shared" si="76"/>
        <v>#REF!</v>
      </c>
      <c r="BN142" s="66"/>
      <c r="BO142" s="47" t="e">
        <f t="shared" si="94"/>
        <v>#REF!</v>
      </c>
      <c r="BP142" s="47"/>
      <c r="BR142" s="47" t="e">
        <f>VLOOKUP($AA142,#REF!,4,0)*(+BO142+BP142)</f>
        <v>#REF!</v>
      </c>
      <c r="BS142" s="47" t="e">
        <f>VLOOKUP($AB142,#REF!,4,0)*(+BO142+BP142)</f>
        <v>#REF!</v>
      </c>
      <c r="BV142" s="47"/>
      <c r="BY142" s="47" t="e">
        <f t="shared" si="89"/>
        <v>#REF!</v>
      </c>
      <c r="BZ142" s="47" t="e">
        <f>(BY188+BY189)*#REF!</f>
        <v>#REF!</v>
      </c>
      <c r="CD142" s="47" t="e">
        <f t="shared" si="78"/>
        <v>#REF!</v>
      </c>
      <c r="CE142" s="66"/>
      <c r="CF142" s="47" t="e">
        <f t="shared" si="95"/>
        <v>#REF!</v>
      </c>
      <c r="CG142" s="47"/>
      <c r="CI142" s="47" t="e">
        <f>VLOOKUP($AA142,#REF!,5,0)*(+CF142+CG142)</f>
        <v>#REF!</v>
      </c>
      <c r="CJ142" s="47" t="e">
        <f>VLOOKUP($AB142,#REF!,5,0)*(+CF142+CG142)</f>
        <v>#REF!</v>
      </c>
      <c r="CM142" s="47"/>
      <c r="CO142" s="47" t="e">
        <f t="shared" si="80"/>
        <v>#REF!</v>
      </c>
      <c r="CP142" s="47" t="e">
        <f>(CO188+CO189)*#REF!</f>
        <v>#REF!</v>
      </c>
      <c r="CT142" s="47" t="e">
        <f t="shared" si="81"/>
        <v>#REF!</v>
      </c>
      <c r="CU142" s="66"/>
      <c r="CV142" s="47" t="e">
        <f t="shared" si="96"/>
        <v>#REF!</v>
      </c>
      <c r="CW142" s="47"/>
      <c r="CY142" s="47" t="e">
        <f>VLOOKUP($AA142,#REF!,6,0)*(+CV142+CW142)</f>
        <v>#REF!</v>
      </c>
      <c r="CZ142" s="47" t="e">
        <f>VLOOKUP($AB142,#REF!,6,0)*(+CV142+CW142)</f>
        <v>#REF!</v>
      </c>
      <c r="DC142" s="47"/>
      <c r="DE142" s="47" t="e">
        <f t="shared" si="83"/>
        <v>#REF!</v>
      </c>
      <c r="DF142" s="47" t="e">
        <f>(DE188+DE189)*#REF!</f>
        <v>#REF!</v>
      </c>
      <c r="DJ142" s="47" t="e">
        <f t="shared" si="84"/>
        <v>#REF!</v>
      </c>
      <c r="DK142" s="66"/>
      <c r="DL142" s="47" t="e">
        <f t="shared" si="86"/>
        <v>#REF!</v>
      </c>
      <c r="DM142" s="47"/>
      <c r="DO142" s="47" t="e">
        <f>VLOOKUP($AA142,#REF!,7,0)*(+DL142+DM142)</f>
        <v>#REF!</v>
      </c>
      <c r="DP142" s="47" t="e">
        <f>VLOOKUP($AB142,#REF!,7,0)*(+DL142+DM142)</f>
        <v>#REF!</v>
      </c>
      <c r="DS142" s="47"/>
      <c r="DU142" s="47" t="e">
        <f t="shared" si="87"/>
        <v>#REF!</v>
      </c>
      <c r="DV142" s="47" t="e">
        <f>(DU188+DU189)*#REF!</f>
        <v>#REF!</v>
      </c>
      <c r="DZ142" s="47" t="e">
        <f t="shared" si="88"/>
        <v>#REF!</v>
      </c>
      <c r="EA142" s="66"/>
    </row>
    <row r="143" spans="1:131" x14ac:dyDescent="0.2">
      <c r="B143" s="371"/>
      <c r="C143" s="371" t="s">
        <v>563</v>
      </c>
      <c r="D143" s="371"/>
      <c r="E143" s="372"/>
      <c r="F143" s="358"/>
      <c r="G143" s="358"/>
      <c r="H143" s="358"/>
      <c r="I143" s="358"/>
      <c r="J143" s="358"/>
      <c r="K143" s="373"/>
      <c r="L143" s="358"/>
      <c r="M143" s="358"/>
      <c r="N143" s="358"/>
      <c r="O143" s="358"/>
      <c r="P143" s="358"/>
      <c r="Q143" s="358"/>
      <c r="R143" s="358"/>
      <c r="S143" s="358"/>
      <c r="T143" s="367"/>
      <c r="U143" s="43"/>
      <c r="V143" s="368"/>
      <c r="W143" s="143"/>
      <c r="X143" s="143"/>
      <c r="Y143" s="171"/>
      <c r="Z143" s="171"/>
      <c r="AA143" s="375" t="s">
        <v>290</v>
      </c>
      <c r="AB143" s="374" t="s">
        <v>513</v>
      </c>
      <c r="AC143" s="355"/>
      <c r="AD143" s="356"/>
      <c r="AE143" s="355"/>
      <c r="AF143" s="355"/>
      <c r="AG143" s="357"/>
      <c r="AH143" s="357"/>
      <c r="AI143" s="357"/>
      <c r="AJ143" s="358"/>
      <c r="AK143" s="357"/>
      <c r="AL143" s="357"/>
      <c r="AN143" s="128">
        <v>0</v>
      </c>
      <c r="AO143" s="357"/>
      <c r="AP143" s="360">
        <f t="shared" ref="AP143:AP145" si="97">SUM(AC143:AO143)+V143</f>
        <v>0</v>
      </c>
      <c r="AQ143" s="47"/>
      <c r="AR143" s="55"/>
      <c r="AS143" s="55"/>
      <c r="AW143" s="48">
        <f t="shared" ref="AW143:AW145" si="98">SUM(AP143:AV143)</f>
        <v>0</v>
      </c>
      <c r="AX143" s="66"/>
      <c r="AY143" s="47">
        <f t="shared" si="93"/>
        <v>0</v>
      </c>
      <c r="AZ143" s="146"/>
      <c r="BB143" s="47">
        <f>VLOOKUP($AA143,[1]Assumptions!$B$5:$H$14,3,0)*(+AY143+AZ143)</f>
        <v>0</v>
      </c>
      <c r="BC143" s="47">
        <f>VLOOKUP($AB143,[1]Assumptions!$B$19:$H$25,3,0)*(+AY143+AZ143)</f>
        <v>0</v>
      </c>
      <c r="BE143" s="47"/>
      <c r="BH143" s="47">
        <f t="shared" si="75"/>
        <v>0</v>
      </c>
      <c r="BI143" s="47"/>
      <c r="BM143" s="47">
        <f t="shared" si="76"/>
        <v>0</v>
      </c>
      <c r="BN143" s="66"/>
      <c r="BO143" s="47">
        <f t="shared" si="94"/>
        <v>0</v>
      </c>
      <c r="BP143" s="47"/>
      <c r="BR143" s="47">
        <f>VLOOKUP($AA143,[1]Assumptions!$B$5:$H$14,4,0)*(+BO143+BP143)</f>
        <v>0</v>
      </c>
      <c r="BS143" s="47">
        <f>VLOOKUP($AB143,[1]Assumptions!$B$19:$H$25,4,0)*(+BO143+BP143)</f>
        <v>0</v>
      </c>
      <c r="BV143" s="47"/>
      <c r="BX143" s="47">
        <v>-600000</v>
      </c>
      <c r="BY143" s="47">
        <f t="shared" si="89"/>
        <v>-600000</v>
      </c>
      <c r="BZ143" s="47"/>
      <c r="CD143" s="47">
        <f t="shared" si="78"/>
        <v>-600000</v>
      </c>
      <c r="CE143" s="66"/>
      <c r="CF143" s="47">
        <f t="shared" si="95"/>
        <v>-600000</v>
      </c>
      <c r="CG143" s="47"/>
      <c r="CI143" s="47">
        <f>VLOOKUP($AA143,[1]Assumptions!$B$5:$H$14,5,0)*(+CF143+CG143)</f>
        <v>-9000</v>
      </c>
      <c r="CJ143" s="47">
        <f>VLOOKUP($AB143,[1]Assumptions!$B$19:$H$25,5,0)*(+CF143+CG143)</f>
        <v>0</v>
      </c>
      <c r="CM143" s="47"/>
      <c r="CO143" s="47">
        <f t="shared" si="80"/>
        <v>-609000</v>
      </c>
      <c r="CP143" s="47"/>
      <c r="CT143" s="47">
        <f t="shared" si="81"/>
        <v>-609000</v>
      </c>
      <c r="CU143" s="66"/>
      <c r="CV143" s="47">
        <f t="shared" si="96"/>
        <v>-609000</v>
      </c>
      <c r="CW143" s="47"/>
      <c r="CY143" s="47">
        <f>VLOOKUP($AA143,[1]Assumptions!$B$5:$H$14,6,0)*(+CV143+CW143)</f>
        <v>-9135</v>
      </c>
      <c r="CZ143" s="47">
        <f>VLOOKUP($AB143,[1]Assumptions!$B$19:$H$25,6,0)*(+CV143+CW143)</f>
        <v>0</v>
      </c>
      <c r="DC143" s="47"/>
      <c r="DE143" s="47">
        <f t="shared" si="83"/>
        <v>-618135</v>
      </c>
      <c r="DF143" s="47"/>
      <c r="DJ143" s="47">
        <f t="shared" si="84"/>
        <v>-618135</v>
      </c>
      <c r="DK143" s="66"/>
      <c r="DL143" s="47">
        <f t="shared" si="86"/>
        <v>-618135</v>
      </c>
      <c r="DM143" s="47"/>
      <c r="DO143" s="47">
        <f>VLOOKUP($AA143,[1]Assumptions!$B$5:$H$14,7,0)*(+DL143+DM143)</f>
        <v>-9272.0249999999996</v>
      </c>
      <c r="DP143" s="47">
        <f>VLOOKUP($AB143,[1]Assumptions!$B$19:$H$25,7,0)*(+DL143+DM143)</f>
        <v>0</v>
      </c>
      <c r="DS143" s="47"/>
      <c r="DU143" s="47">
        <f t="shared" si="87"/>
        <v>-627407.02500000002</v>
      </c>
      <c r="DV143" s="47"/>
      <c r="DZ143" s="47">
        <f t="shared" si="88"/>
        <v>-627407.02500000002</v>
      </c>
      <c r="EA143" s="66"/>
    </row>
    <row r="144" spans="1:131" x14ac:dyDescent="0.2">
      <c r="B144" s="371"/>
      <c r="C144" s="371" t="s">
        <v>564</v>
      </c>
      <c r="D144" s="371"/>
      <c r="E144" s="372"/>
      <c r="F144" s="358"/>
      <c r="G144" s="358"/>
      <c r="H144" s="358"/>
      <c r="I144" s="358"/>
      <c r="J144" s="358"/>
      <c r="K144" s="373"/>
      <c r="L144" s="358"/>
      <c r="M144" s="358"/>
      <c r="N144" s="358"/>
      <c r="O144" s="358"/>
      <c r="P144" s="358"/>
      <c r="Q144" s="358"/>
      <c r="R144" s="358"/>
      <c r="S144" s="358"/>
      <c r="T144" s="367"/>
      <c r="U144" s="43"/>
      <c r="V144" s="368"/>
      <c r="W144" s="143"/>
      <c r="X144" s="143"/>
      <c r="Y144" s="171"/>
      <c r="Z144" s="171"/>
      <c r="AA144" s="375" t="s">
        <v>290</v>
      </c>
      <c r="AB144" s="374" t="s">
        <v>513</v>
      </c>
      <c r="AC144" s="355"/>
      <c r="AD144" s="356"/>
      <c r="AE144" s="355"/>
      <c r="AF144" s="355"/>
      <c r="AG144" s="357"/>
      <c r="AH144" s="357"/>
      <c r="AI144" s="357"/>
      <c r="AJ144" s="358"/>
      <c r="AK144" s="357"/>
      <c r="AL144" s="357"/>
      <c r="AN144" s="128">
        <v>0</v>
      </c>
      <c r="AO144" s="357"/>
      <c r="AP144" s="360">
        <f t="shared" si="97"/>
        <v>0</v>
      </c>
      <c r="AQ144" s="47"/>
      <c r="AR144" s="55"/>
      <c r="AS144" s="55"/>
      <c r="AW144" s="48">
        <f t="shared" si="98"/>
        <v>0</v>
      </c>
      <c r="AX144" s="66"/>
      <c r="AY144" s="47">
        <f t="shared" si="93"/>
        <v>0</v>
      </c>
      <c r="AZ144" s="146"/>
      <c r="BB144" s="47">
        <f>VLOOKUP($AA144,[1]Assumptions!$B$5:$H$14,3,0)*(+AY144+AZ144)</f>
        <v>0</v>
      </c>
      <c r="BC144" s="47">
        <f>VLOOKUP($AB144,[1]Assumptions!$B$19:$H$25,3,0)*(+AY144+AZ144)</f>
        <v>0</v>
      </c>
      <c r="BE144" s="47"/>
      <c r="BH144" s="47">
        <f t="shared" si="75"/>
        <v>0</v>
      </c>
      <c r="BI144" s="47"/>
      <c r="BM144" s="47">
        <f t="shared" si="76"/>
        <v>0</v>
      </c>
      <c r="BN144" s="66"/>
      <c r="BO144" s="47">
        <f t="shared" si="94"/>
        <v>0</v>
      </c>
      <c r="BP144" s="47"/>
      <c r="BR144" s="47">
        <f>VLOOKUP($AA144,[1]Assumptions!$B$5:$H$14,4,0)*(+BO144+BP144)</f>
        <v>0</v>
      </c>
      <c r="BS144" s="47">
        <f>VLOOKUP($AB144,[1]Assumptions!$B$19:$H$25,4,0)*(+BO144+BP144)</f>
        <v>0</v>
      </c>
      <c r="BV144" s="47"/>
      <c r="BX144" s="47">
        <v>-875000</v>
      </c>
      <c r="BY144" s="47">
        <f t="shared" si="89"/>
        <v>-875000</v>
      </c>
      <c r="BZ144" s="47"/>
      <c r="CD144" s="47">
        <f t="shared" si="78"/>
        <v>-875000</v>
      </c>
      <c r="CE144" s="66"/>
      <c r="CF144" s="47">
        <f t="shared" si="95"/>
        <v>-875000</v>
      </c>
      <c r="CG144" s="47"/>
      <c r="CI144" s="47">
        <f>VLOOKUP($AA144,[1]Assumptions!$B$5:$H$14,5,0)*(+CF144+CG144)</f>
        <v>-13125</v>
      </c>
      <c r="CJ144" s="47">
        <f>VLOOKUP($AB144,[1]Assumptions!$B$19:$H$25,5,0)*(+CF144+CG144)</f>
        <v>0</v>
      </c>
      <c r="CM144" s="47"/>
      <c r="CO144" s="47">
        <f t="shared" si="80"/>
        <v>-888125</v>
      </c>
      <c r="CP144" s="47"/>
      <c r="CT144" s="47">
        <f t="shared" si="81"/>
        <v>-888125</v>
      </c>
      <c r="CU144" s="66"/>
      <c r="CV144" s="47">
        <f t="shared" si="96"/>
        <v>-888125</v>
      </c>
      <c r="CW144" s="47"/>
      <c r="CY144" s="47">
        <f>VLOOKUP($AA144,[1]Assumptions!$B$5:$H$14,6,0)*(+CV144+CW144)</f>
        <v>-13321.875</v>
      </c>
      <c r="CZ144" s="47">
        <f>VLOOKUP($AB144,[1]Assumptions!$B$19:$H$25,6,0)*(+CV144+CW144)</f>
        <v>0</v>
      </c>
      <c r="DC144" s="47"/>
      <c r="DE144" s="47">
        <f t="shared" si="83"/>
        <v>-901446.875</v>
      </c>
      <c r="DF144" s="47"/>
      <c r="DJ144" s="47">
        <f t="shared" si="84"/>
        <v>-901446.875</v>
      </c>
      <c r="DK144" s="66"/>
      <c r="DL144" s="47">
        <f t="shared" si="86"/>
        <v>-901446.875</v>
      </c>
      <c r="DM144" s="47"/>
      <c r="DO144" s="47">
        <f>VLOOKUP($AA144,[1]Assumptions!$B$5:$H$14,7,0)*(+DL144+DM144)</f>
        <v>-13521.703125</v>
      </c>
      <c r="DP144" s="47">
        <f>VLOOKUP($AB144,[1]Assumptions!$B$19:$H$25,7,0)*(+DL144+DM144)</f>
        <v>0</v>
      </c>
      <c r="DS144" s="47"/>
      <c r="DU144" s="47">
        <f t="shared" si="87"/>
        <v>-914968.578125</v>
      </c>
      <c r="DV144" s="47"/>
      <c r="DZ144" s="47">
        <f t="shared" si="88"/>
        <v>-914968.578125</v>
      </c>
      <c r="EA144" s="66"/>
    </row>
    <row r="145" spans="1:131" x14ac:dyDescent="0.2">
      <c r="B145" s="371"/>
      <c r="C145" s="371" t="s">
        <v>565</v>
      </c>
      <c r="D145" s="371"/>
      <c r="E145" s="372"/>
      <c r="F145" s="358"/>
      <c r="G145" s="358"/>
      <c r="H145" s="358"/>
      <c r="I145" s="358"/>
      <c r="J145" s="358"/>
      <c r="K145" s="373"/>
      <c r="L145" s="358"/>
      <c r="M145" s="358"/>
      <c r="N145" s="358"/>
      <c r="O145" s="358"/>
      <c r="P145" s="358"/>
      <c r="Q145" s="358"/>
      <c r="R145" s="358"/>
      <c r="S145" s="358"/>
      <c r="T145" s="367"/>
      <c r="U145" s="43"/>
      <c r="V145" s="368"/>
      <c r="W145" s="143"/>
      <c r="X145" s="143"/>
      <c r="Y145" s="171"/>
      <c r="Z145" s="171"/>
      <c r="AA145" s="375" t="s">
        <v>290</v>
      </c>
      <c r="AB145" s="374" t="s">
        <v>513</v>
      </c>
      <c r="AC145" s="355"/>
      <c r="AD145" s="356"/>
      <c r="AE145" s="355"/>
      <c r="AF145" s="355"/>
      <c r="AG145" s="357"/>
      <c r="AH145" s="357"/>
      <c r="AI145" s="357"/>
      <c r="AJ145" s="358"/>
      <c r="AK145" s="357"/>
      <c r="AL145" s="357"/>
      <c r="AN145" s="128">
        <v>0</v>
      </c>
      <c r="AO145" s="357"/>
      <c r="AP145" s="360">
        <f t="shared" si="97"/>
        <v>0</v>
      </c>
      <c r="AQ145" s="47"/>
      <c r="AR145" s="55"/>
      <c r="AS145" s="55"/>
      <c r="AW145" s="48">
        <f t="shared" si="98"/>
        <v>0</v>
      </c>
      <c r="AX145" s="66"/>
      <c r="AY145" s="47">
        <f t="shared" si="93"/>
        <v>0</v>
      </c>
      <c r="AZ145" s="146"/>
      <c r="BB145" s="47">
        <f>VLOOKUP($AA145,[1]Assumptions!$B$5:$H$14,3,0)*(+AY145+AZ145)</f>
        <v>0</v>
      </c>
      <c r="BC145" s="47">
        <f>VLOOKUP($AB145,[1]Assumptions!$B$19:$H$25,3,0)*(+AY145+AZ145)</f>
        <v>0</v>
      </c>
      <c r="BE145" s="47"/>
      <c r="BH145" s="47">
        <f t="shared" si="75"/>
        <v>0</v>
      </c>
      <c r="BI145" s="47"/>
      <c r="BM145" s="47">
        <f t="shared" si="76"/>
        <v>0</v>
      </c>
      <c r="BN145" s="66"/>
      <c r="BO145" s="47">
        <f t="shared" si="94"/>
        <v>0</v>
      </c>
      <c r="BP145" s="47"/>
      <c r="BR145" s="47">
        <f>VLOOKUP($AA145,[1]Assumptions!$B$5:$H$14,4,0)*(+BO145+BP145)</f>
        <v>0</v>
      </c>
      <c r="BS145" s="47">
        <f>VLOOKUP($AB145,[1]Assumptions!$B$19:$H$25,4,0)*(+BO145+BP145)</f>
        <v>0</v>
      </c>
      <c r="BV145" s="47"/>
      <c r="BX145" s="47">
        <v>-650000</v>
      </c>
      <c r="BY145" s="47">
        <f t="shared" si="89"/>
        <v>-650000</v>
      </c>
      <c r="BZ145" s="47"/>
      <c r="CD145" s="47">
        <f t="shared" si="78"/>
        <v>-650000</v>
      </c>
      <c r="CE145" s="66"/>
      <c r="CF145" s="47">
        <f t="shared" si="95"/>
        <v>-650000</v>
      </c>
      <c r="CG145" s="47"/>
      <c r="CI145" s="47">
        <f>VLOOKUP($AA145,[1]Assumptions!$B$5:$H$14,5,0)*(+CF145+CG145)</f>
        <v>-9750</v>
      </c>
      <c r="CJ145" s="47">
        <f>VLOOKUP($AB145,[1]Assumptions!$B$19:$H$25,5,0)*(+CF145+CG145)</f>
        <v>0</v>
      </c>
      <c r="CM145" s="47"/>
      <c r="CO145" s="47">
        <f t="shared" si="80"/>
        <v>-659750</v>
      </c>
      <c r="CP145" s="47"/>
      <c r="CT145" s="47">
        <f t="shared" si="81"/>
        <v>-659750</v>
      </c>
      <c r="CU145" s="66"/>
      <c r="CV145" s="47">
        <f t="shared" si="96"/>
        <v>-659750</v>
      </c>
      <c r="CW145" s="47"/>
      <c r="CY145" s="47">
        <f>VLOOKUP($AA145,[1]Assumptions!$B$5:$H$14,6,0)*(+CV145+CW145)</f>
        <v>-9896.25</v>
      </c>
      <c r="CZ145" s="47">
        <f>VLOOKUP($AB145,[1]Assumptions!$B$19:$H$25,6,0)*(+CV145+CW145)</f>
        <v>0</v>
      </c>
      <c r="DC145" s="47"/>
      <c r="DE145" s="47">
        <f t="shared" si="83"/>
        <v>-669646.25</v>
      </c>
      <c r="DF145" s="47"/>
      <c r="DJ145" s="47">
        <f t="shared" si="84"/>
        <v>-669646.25</v>
      </c>
      <c r="DK145" s="66"/>
      <c r="DL145" s="47">
        <f t="shared" si="86"/>
        <v>-669646.25</v>
      </c>
      <c r="DM145" s="47"/>
      <c r="DO145" s="47">
        <f>VLOOKUP($AA145,[1]Assumptions!$B$5:$H$14,7,0)*(+DL145+DM145)</f>
        <v>-10044.69375</v>
      </c>
      <c r="DP145" s="47">
        <f>VLOOKUP($AB145,[1]Assumptions!$B$19:$H$25,7,0)*(+DL145+DM145)</f>
        <v>0</v>
      </c>
      <c r="DS145" s="47"/>
      <c r="DU145" s="47">
        <f t="shared" si="87"/>
        <v>-679690.94374999998</v>
      </c>
      <c r="DV145" s="47"/>
      <c r="DZ145" s="47">
        <f t="shared" si="88"/>
        <v>-679690.94374999998</v>
      </c>
      <c r="EA145" s="66"/>
    </row>
    <row r="146" spans="1:131" x14ac:dyDescent="0.2">
      <c r="A146" s="38" t="s">
        <v>380</v>
      </c>
      <c r="B146" s="39" t="s">
        <v>249</v>
      </c>
      <c r="C146" s="49" t="s">
        <v>283</v>
      </c>
      <c r="D146" s="39"/>
      <c r="E146" s="40"/>
      <c r="F146" s="41"/>
      <c r="G146" s="41"/>
      <c r="H146" s="41"/>
      <c r="I146" s="41"/>
      <c r="J146" s="41"/>
      <c r="K146" s="51"/>
      <c r="L146" s="41"/>
      <c r="M146" s="41"/>
      <c r="N146" s="41"/>
      <c r="O146" s="41"/>
      <c r="P146" s="41"/>
      <c r="Q146" s="41"/>
      <c r="R146" s="41"/>
      <c r="S146" s="41"/>
      <c r="T146" s="42">
        <f t="shared" si="90"/>
        <v>0</v>
      </c>
      <c r="U146" s="43"/>
      <c r="V146" s="139">
        <v>0</v>
      </c>
      <c r="W146" s="143" t="s">
        <v>368</v>
      </c>
      <c r="X146" s="143">
        <v>11</v>
      </c>
      <c r="Y146" s="171" t="s">
        <v>423</v>
      </c>
      <c r="Z146" s="171" t="s">
        <v>342</v>
      </c>
      <c r="AA146" s="44" t="s">
        <v>290</v>
      </c>
      <c r="AB146" s="188" t="s">
        <v>513</v>
      </c>
      <c r="AC146" s="10"/>
      <c r="AD146" s="13"/>
      <c r="AE146" s="10"/>
      <c r="AF146" s="10"/>
      <c r="AG146" s="45"/>
      <c r="AH146" s="45">
        <v>10000</v>
      </c>
      <c r="AI146" s="45"/>
      <c r="AJ146" s="41"/>
      <c r="AK146" s="45"/>
      <c r="AL146" s="45"/>
      <c r="AN146" s="128">
        <v>0</v>
      </c>
      <c r="AO146" s="45"/>
      <c r="AP146" s="46">
        <f t="shared" si="91"/>
        <v>10000</v>
      </c>
      <c r="AQ146" s="47"/>
      <c r="AR146" s="55"/>
      <c r="AS146" s="55"/>
      <c r="AW146" s="48">
        <f t="shared" si="92"/>
        <v>10000</v>
      </c>
      <c r="AX146" s="66"/>
      <c r="AY146" s="47">
        <f t="shared" si="93"/>
        <v>10000</v>
      </c>
      <c r="AZ146" s="244">
        <v>-10000</v>
      </c>
      <c r="BB146" s="47" t="e">
        <f>VLOOKUP($AA146,#REF!,3,0)*(+AY146+AZ146)</f>
        <v>#REF!</v>
      </c>
      <c r="BC146" s="47" t="e">
        <f>VLOOKUP($AB146,#REF!,3,0)*(+AY146+AZ146)</f>
        <v>#REF!</v>
      </c>
      <c r="BE146" s="47"/>
      <c r="BH146" s="47" t="e">
        <f t="shared" si="75"/>
        <v>#REF!</v>
      </c>
      <c r="BM146" s="47" t="e">
        <f t="shared" si="76"/>
        <v>#REF!</v>
      </c>
      <c r="BN146" s="66"/>
      <c r="BO146" s="47" t="e">
        <f t="shared" si="94"/>
        <v>#REF!</v>
      </c>
      <c r="BP146" s="47"/>
      <c r="BR146" s="47" t="e">
        <f>VLOOKUP($AA146,#REF!,4,0)*(+BO146+BP146)</f>
        <v>#REF!</v>
      </c>
      <c r="BS146" s="47" t="e">
        <f>VLOOKUP($AB146,#REF!,4,0)*(+BO146+BP146)</f>
        <v>#REF!</v>
      </c>
      <c r="BV146" s="47"/>
      <c r="BY146" s="47" t="e">
        <f t="shared" si="89"/>
        <v>#REF!</v>
      </c>
      <c r="CD146" s="47" t="e">
        <f t="shared" si="78"/>
        <v>#REF!</v>
      </c>
      <c r="CE146" s="66"/>
      <c r="CF146" s="47" t="e">
        <f t="shared" si="95"/>
        <v>#REF!</v>
      </c>
      <c r="CG146" s="47"/>
      <c r="CI146" s="47" t="e">
        <f>VLOOKUP($AA146,#REF!,5,0)*(+CF146+CG146)</f>
        <v>#REF!</v>
      </c>
      <c r="CJ146" s="47" t="e">
        <f>VLOOKUP($AB146,#REF!,5,0)*(+CF146+CG146)</f>
        <v>#REF!</v>
      </c>
      <c r="CM146" s="47"/>
      <c r="CO146" s="47" t="e">
        <f t="shared" si="80"/>
        <v>#REF!</v>
      </c>
      <c r="CT146" s="47" t="e">
        <f t="shared" si="81"/>
        <v>#REF!</v>
      </c>
      <c r="CU146" s="66"/>
      <c r="CV146" s="47" t="e">
        <f t="shared" si="96"/>
        <v>#REF!</v>
      </c>
      <c r="CW146" s="47"/>
      <c r="CY146" s="47" t="e">
        <f>VLOOKUP($AA146,#REF!,6,0)*(+CV146+CW146)</f>
        <v>#REF!</v>
      </c>
      <c r="CZ146" s="47" t="e">
        <f>VLOOKUP($AB146,#REF!,6,0)*(+CV146+CW146)</f>
        <v>#REF!</v>
      </c>
      <c r="DC146" s="47"/>
      <c r="DE146" s="47" t="e">
        <f t="shared" si="83"/>
        <v>#REF!</v>
      </c>
      <c r="DJ146" s="47" t="e">
        <f t="shared" si="84"/>
        <v>#REF!</v>
      </c>
      <c r="DK146" s="66"/>
      <c r="DL146" s="47" t="e">
        <f t="shared" si="86"/>
        <v>#REF!</v>
      </c>
      <c r="DM146" s="47"/>
      <c r="DO146" s="47" t="e">
        <f>VLOOKUP($AA146,#REF!,7,0)*(+DL146+DM146)</f>
        <v>#REF!</v>
      </c>
      <c r="DP146" s="47" t="e">
        <f>VLOOKUP($AB146,#REF!,7,0)*(+DL146+DM146)</f>
        <v>#REF!</v>
      </c>
      <c r="DS146" s="47"/>
      <c r="DU146" s="47" t="e">
        <f t="shared" si="87"/>
        <v>#REF!</v>
      </c>
      <c r="DZ146" s="47" t="e">
        <f t="shared" si="88"/>
        <v>#REF!</v>
      </c>
      <c r="EA146" s="66"/>
    </row>
    <row r="147" spans="1:131" x14ac:dyDescent="0.2">
      <c r="A147" s="38" t="s">
        <v>380</v>
      </c>
      <c r="B147" s="39" t="s">
        <v>249</v>
      </c>
      <c r="C147" s="49" t="s">
        <v>338</v>
      </c>
      <c r="D147" s="39"/>
      <c r="E147" s="40"/>
      <c r="F147" s="41"/>
      <c r="G147" s="41"/>
      <c r="H147" s="41"/>
      <c r="I147" s="41"/>
      <c r="J147" s="41"/>
      <c r="K147" s="51"/>
      <c r="L147" s="41"/>
      <c r="M147" s="41"/>
      <c r="N147" s="41"/>
      <c r="O147" s="41"/>
      <c r="P147" s="41"/>
      <c r="Q147" s="41"/>
      <c r="R147" s="41"/>
      <c r="S147" s="41"/>
      <c r="T147" s="42">
        <f t="shared" si="90"/>
        <v>0</v>
      </c>
      <c r="U147" s="43"/>
      <c r="V147" s="139">
        <v>0</v>
      </c>
      <c r="W147" s="143" t="s">
        <v>368</v>
      </c>
      <c r="X147" s="143">
        <v>11</v>
      </c>
      <c r="Y147" s="171" t="s">
        <v>423</v>
      </c>
      <c r="Z147" s="171" t="s">
        <v>342</v>
      </c>
      <c r="AA147" s="44" t="s">
        <v>290</v>
      </c>
      <c r="AB147" s="188" t="s">
        <v>513</v>
      </c>
      <c r="AC147" s="10"/>
      <c r="AD147" s="13"/>
      <c r="AE147" s="10"/>
      <c r="AF147" s="10"/>
      <c r="AG147" s="45"/>
      <c r="AH147" s="45">
        <v>201000</v>
      </c>
      <c r="AI147" s="45"/>
      <c r="AJ147" s="41"/>
      <c r="AK147" s="45"/>
      <c r="AL147" s="45"/>
      <c r="AN147" s="128">
        <v>0</v>
      </c>
      <c r="AO147" s="45"/>
      <c r="AP147" s="46">
        <f t="shared" si="91"/>
        <v>201000</v>
      </c>
      <c r="AQ147" s="47"/>
      <c r="AR147" s="55"/>
      <c r="AS147" s="55"/>
      <c r="AW147" s="48">
        <f t="shared" si="92"/>
        <v>201000</v>
      </c>
      <c r="AX147" s="66"/>
      <c r="AY147" s="47">
        <f t="shared" si="93"/>
        <v>201000</v>
      </c>
      <c r="AZ147" s="47"/>
      <c r="BB147" s="47" t="e">
        <f>VLOOKUP($AA147,#REF!,3,0)*(+AY147+AZ147)</f>
        <v>#REF!</v>
      </c>
      <c r="BC147" s="47" t="e">
        <f>VLOOKUP($AB147,#REF!,3,0)*(+AY147+AZ147)</f>
        <v>#REF!</v>
      </c>
      <c r="BE147" s="47"/>
      <c r="BH147" s="47" t="e">
        <f t="shared" si="75"/>
        <v>#REF!</v>
      </c>
      <c r="BM147" s="47" t="e">
        <f t="shared" si="76"/>
        <v>#REF!</v>
      </c>
      <c r="BN147" s="66"/>
      <c r="BO147" s="47" t="e">
        <f t="shared" si="94"/>
        <v>#REF!</v>
      </c>
      <c r="BP147" s="47"/>
      <c r="BR147" s="47" t="e">
        <f>VLOOKUP($AA147,#REF!,4,0)*(+BO147+BP147)</f>
        <v>#REF!</v>
      </c>
      <c r="BS147" s="47" t="e">
        <f>VLOOKUP($AB147,#REF!,4,0)*(+BO147+BP147)</f>
        <v>#REF!</v>
      </c>
      <c r="BV147" s="47"/>
      <c r="BY147" s="47" t="e">
        <f t="shared" si="89"/>
        <v>#REF!</v>
      </c>
      <c r="CD147" s="47" t="e">
        <f t="shared" si="78"/>
        <v>#REF!</v>
      </c>
      <c r="CE147" s="66"/>
      <c r="CF147" s="47" t="e">
        <f t="shared" si="95"/>
        <v>#REF!</v>
      </c>
      <c r="CG147" s="47"/>
      <c r="CI147" s="47" t="e">
        <f>VLOOKUP($AA147,#REF!,5,0)*(+CF147+CG147)</f>
        <v>#REF!</v>
      </c>
      <c r="CJ147" s="47" t="e">
        <f>VLOOKUP($AB147,#REF!,5,0)*(+CF147+CG147)</f>
        <v>#REF!</v>
      </c>
      <c r="CM147" s="47"/>
      <c r="CO147" s="47" t="e">
        <f t="shared" si="80"/>
        <v>#REF!</v>
      </c>
      <c r="CT147" s="47" t="e">
        <f t="shared" si="81"/>
        <v>#REF!</v>
      </c>
      <c r="CU147" s="66"/>
      <c r="CV147" s="47" t="e">
        <f t="shared" si="96"/>
        <v>#REF!</v>
      </c>
      <c r="CW147" s="47"/>
      <c r="CY147" s="47" t="e">
        <f>VLOOKUP($AA147,#REF!,6,0)*(+CV147+CW147)</f>
        <v>#REF!</v>
      </c>
      <c r="CZ147" s="47" t="e">
        <f>VLOOKUP($AB147,#REF!,6,0)*(+CV147+CW147)</f>
        <v>#REF!</v>
      </c>
      <c r="DC147" s="47"/>
      <c r="DE147" s="47" t="e">
        <f t="shared" si="83"/>
        <v>#REF!</v>
      </c>
      <c r="DJ147" s="47" t="e">
        <f t="shared" si="84"/>
        <v>#REF!</v>
      </c>
      <c r="DK147" s="66"/>
      <c r="DL147" s="47" t="e">
        <f t="shared" si="86"/>
        <v>#REF!</v>
      </c>
      <c r="DM147" s="47"/>
      <c r="DO147" s="47" t="e">
        <f>VLOOKUP($AA147,#REF!,7,0)*(+DL147+DM147)</f>
        <v>#REF!</v>
      </c>
      <c r="DP147" s="47" t="e">
        <f>VLOOKUP($AB147,#REF!,7,0)*(+DL147+DM147)</f>
        <v>#REF!</v>
      </c>
      <c r="DS147" s="47"/>
      <c r="DU147" s="47" t="e">
        <f t="shared" si="87"/>
        <v>#REF!</v>
      </c>
      <c r="DZ147" s="47" t="e">
        <f t="shared" si="88"/>
        <v>#REF!</v>
      </c>
      <c r="EA147" s="66"/>
    </row>
    <row r="148" spans="1:131" x14ac:dyDescent="0.2">
      <c r="A148" s="38" t="s">
        <v>380</v>
      </c>
      <c r="B148" s="39" t="s">
        <v>249</v>
      </c>
      <c r="C148" s="49" t="s">
        <v>342</v>
      </c>
      <c r="D148" s="39"/>
      <c r="E148" s="40"/>
      <c r="F148" s="41"/>
      <c r="G148" s="41"/>
      <c r="H148" s="41"/>
      <c r="I148" s="41"/>
      <c r="J148" s="41"/>
      <c r="K148" s="51"/>
      <c r="L148" s="41"/>
      <c r="M148" s="41"/>
      <c r="N148" s="41"/>
      <c r="O148" s="41"/>
      <c r="P148" s="41"/>
      <c r="Q148" s="41"/>
      <c r="R148" s="41"/>
      <c r="S148" s="41"/>
      <c r="T148" s="42">
        <f t="shared" si="90"/>
        <v>0</v>
      </c>
      <c r="U148" s="43"/>
      <c r="V148" s="139">
        <v>0</v>
      </c>
      <c r="W148" s="143" t="s">
        <v>368</v>
      </c>
      <c r="X148" s="143">
        <v>11</v>
      </c>
      <c r="Y148" s="171" t="s">
        <v>423</v>
      </c>
      <c r="Z148" s="171" t="s">
        <v>342</v>
      </c>
      <c r="AA148" s="44" t="s">
        <v>290</v>
      </c>
      <c r="AB148" s="188" t="s">
        <v>513</v>
      </c>
      <c r="AC148" s="10"/>
      <c r="AD148" s="13"/>
      <c r="AE148" s="10"/>
      <c r="AF148" s="10"/>
      <c r="AG148" s="45"/>
      <c r="AH148" s="45">
        <v>2000</v>
      </c>
      <c r="AI148" s="45"/>
      <c r="AJ148" s="41"/>
      <c r="AK148" s="45"/>
      <c r="AL148" s="45"/>
      <c r="AN148" s="128">
        <v>0</v>
      </c>
      <c r="AO148" s="45"/>
      <c r="AP148" s="46">
        <f t="shared" si="91"/>
        <v>2000</v>
      </c>
      <c r="AQ148" s="47"/>
      <c r="AR148" s="55"/>
      <c r="AS148" s="55"/>
      <c r="AW148" s="48">
        <f t="shared" si="92"/>
        <v>2000</v>
      </c>
      <c r="AX148" s="66"/>
      <c r="AY148" s="47">
        <f t="shared" si="93"/>
        <v>2000</v>
      </c>
      <c r="AZ148" s="47"/>
      <c r="BB148" s="47" t="e">
        <f>VLOOKUP($AA148,#REF!,3,0)*(+AY148+AZ148)</f>
        <v>#REF!</v>
      </c>
      <c r="BC148" s="47" t="e">
        <f>VLOOKUP($AB148,#REF!,3,0)*(+AY148+AZ148)</f>
        <v>#REF!</v>
      </c>
      <c r="BE148" s="47"/>
      <c r="BH148" s="47" t="e">
        <f t="shared" si="75"/>
        <v>#REF!</v>
      </c>
      <c r="BM148" s="47" t="e">
        <f t="shared" si="76"/>
        <v>#REF!</v>
      </c>
      <c r="BN148" s="66"/>
      <c r="BO148" s="47" t="e">
        <f t="shared" si="94"/>
        <v>#REF!</v>
      </c>
      <c r="BP148" s="47"/>
      <c r="BR148" s="47" t="e">
        <f>VLOOKUP($AA148,#REF!,4,0)*(+BO148+BP148)</f>
        <v>#REF!</v>
      </c>
      <c r="BS148" s="47" t="e">
        <f>VLOOKUP($AB148,#REF!,4,0)*(+BO148+BP148)</f>
        <v>#REF!</v>
      </c>
      <c r="BV148" s="47"/>
      <c r="BY148" s="47" t="e">
        <f t="shared" si="89"/>
        <v>#REF!</v>
      </c>
      <c r="CD148" s="47" t="e">
        <f t="shared" si="78"/>
        <v>#REF!</v>
      </c>
      <c r="CE148" s="66"/>
      <c r="CF148" s="47" t="e">
        <f t="shared" si="95"/>
        <v>#REF!</v>
      </c>
      <c r="CG148" s="47"/>
      <c r="CI148" s="47" t="e">
        <f>VLOOKUP($AA148,#REF!,5,0)*(+CF148+CG148)</f>
        <v>#REF!</v>
      </c>
      <c r="CJ148" s="47" t="e">
        <f>VLOOKUP($AB148,#REF!,5,0)*(+CF148+CG148)</f>
        <v>#REF!</v>
      </c>
      <c r="CM148" s="47"/>
      <c r="CO148" s="47" t="e">
        <f t="shared" si="80"/>
        <v>#REF!</v>
      </c>
      <c r="CT148" s="47" t="e">
        <f t="shared" si="81"/>
        <v>#REF!</v>
      </c>
      <c r="CU148" s="66"/>
      <c r="CV148" s="47" t="e">
        <f t="shared" si="96"/>
        <v>#REF!</v>
      </c>
      <c r="CW148" s="47"/>
      <c r="CY148" s="47" t="e">
        <f>VLOOKUP($AA148,#REF!,6,0)*(+CV148+CW148)</f>
        <v>#REF!</v>
      </c>
      <c r="CZ148" s="47" t="e">
        <f>VLOOKUP($AB148,#REF!,6,0)*(+CV148+CW148)</f>
        <v>#REF!</v>
      </c>
      <c r="DC148" s="47"/>
      <c r="DE148" s="47" t="e">
        <f t="shared" si="83"/>
        <v>#REF!</v>
      </c>
      <c r="DJ148" s="47" t="e">
        <f t="shared" si="84"/>
        <v>#REF!</v>
      </c>
      <c r="DK148" s="66"/>
      <c r="DL148" s="47" t="e">
        <f t="shared" si="86"/>
        <v>#REF!</v>
      </c>
      <c r="DM148" s="47"/>
      <c r="DO148" s="47" t="e">
        <f>VLOOKUP($AA148,#REF!,7,0)*(+DL148+DM148)</f>
        <v>#REF!</v>
      </c>
      <c r="DP148" s="47" t="e">
        <f>VLOOKUP($AB148,#REF!,7,0)*(+DL148+DM148)</f>
        <v>#REF!</v>
      </c>
      <c r="DS148" s="47"/>
      <c r="DU148" s="47" t="e">
        <f t="shared" si="87"/>
        <v>#REF!</v>
      </c>
      <c r="DZ148" s="47" t="e">
        <f t="shared" si="88"/>
        <v>#REF!</v>
      </c>
      <c r="EA148" s="66"/>
    </row>
    <row r="149" spans="1:131" x14ac:dyDescent="0.2">
      <c r="A149" s="38" t="s">
        <v>380</v>
      </c>
      <c r="B149" s="39" t="s">
        <v>249</v>
      </c>
      <c r="C149" s="49" t="s">
        <v>339</v>
      </c>
      <c r="D149" s="39"/>
      <c r="E149" s="40"/>
      <c r="F149" s="41"/>
      <c r="G149" s="41"/>
      <c r="H149" s="41"/>
      <c r="I149" s="41"/>
      <c r="J149" s="41"/>
      <c r="K149" s="51"/>
      <c r="L149" s="41"/>
      <c r="M149" s="41"/>
      <c r="N149" s="41"/>
      <c r="O149" s="41"/>
      <c r="P149" s="41"/>
      <c r="Q149" s="41"/>
      <c r="R149" s="41"/>
      <c r="S149" s="41"/>
      <c r="T149" s="42">
        <f t="shared" si="90"/>
        <v>0</v>
      </c>
      <c r="U149" s="43"/>
      <c r="V149" s="139">
        <v>0</v>
      </c>
      <c r="W149" s="143" t="s">
        <v>368</v>
      </c>
      <c r="X149" s="143">
        <v>11</v>
      </c>
      <c r="Y149" s="171" t="s">
        <v>423</v>
      </c>
      <c r="Z149" s="171" t="s">
        <v>342</v>
      </c>
      <c r="AA149" s="44" t="s">
        <v>290</v>
      </c>
      <c r="AB149" s="188" t="s">
        <v>513</v>
      </c>
      <c r="AC149" s="10"/>
      <c r="AD149" s="13"/>
      <c r="AE149" s="10"/>
      <c r="AF149" s="10"/>
      <c r="AG149" s="45"/>
      <c r="AH149" s="45">
        <v>106000</v>
      </c>
      <c r="AI149" s="45"/>
      <c r="AJ149" s="41"/>
      <c r="AK149" s="45"/>
      <c r="AL149" s="45"/>
      <c r="AN149" s="128">
        <v>0</v>
      </c>
      <c r="AO149" s="45"/>
      <c r="AP149" s="46">
        <f t="shared" si="91"/>
        <v>106000</v>
      </c>
      <c r="AQ149" s="47"/>
      <c r="AR149" s="55"/>
      <c r="AS149" s="55"/>
      <c r="AW149" s="48">
        <f t="shared" si="92"/>
        <v>106000</v>
      </c>
      <c r="AX149" s="66"/>
      <c r="AY149" s="47">
        <f t="shared" si="93"/>
        <v>106000</v>
      </c>
      <c r="AZ149" s="244">
        <v>-106000</v>
      </c>
      <c r="BB149" s="47" t="e">
        <f>VLOOKUP($AA149,#REF!,3,0)*(+AY149+AZ149)</f>
        <v>#REF!</v>
      </c>
      <c r="BC149" s="47" t="e">
        <f>VLOOKUP($AB149,#REF!,3,0)*(+AY149+AZ149)</f>
        <v>#REF!</v>
      </c>
      <c r="BE149" s="47"/>
      <c r="BH149" s="47" t="e">
        <f t="shared" si="75"/>
        <v>#REF!</v>
      </c>
      <c r="BM149" s="47" t="e">
        <f t="shared" si="76"/>
        <v>#REF!</v>
      </c>
      <c r="BN149" s="66"/>
      <c r="BO149" s="47" t="e">
        <f t="shared" si="94"/>
        <v>#REF!</v>
      </c>
      <c r="BP149" s="47"/>
      <c r="BR149" s="47" t="e">
        <f>VLOOKUP($AA149,#REF!,4,0)*(+BO149+BP149)</f>
        <v>#REF!</v>
      </c>
      <c r="BS149" s="47" t="e">
        <f>VLOOKUP($AB149,#REF!,4,0)*(+BO149+BP149)</f>
        <v>#REF!</v>
      </c>
      <c r="BV149" s="47"/>
      <c r="BY149" s="47" t="e">
        <f t="shared" si="89"/>
        <v>#REF!</v>
      </c>
      <c r="CD149" s="47" t="e">
        <f t="shared" si="78"/>
        <v>#REF!</v>
      </c>
      <c r="CE149" s="66"/>
      <c r="CF149" s="47" t="e">
        <f t="shared" si="95"/>
        <v>#REF!</v>
      </c>
      <c r="CG149" s="47"/>
      <c r="CI149" s="47" t="e">
        <f>VLOOKUP($AA149,#REF!,5,0)*(+CF149+CG149)</f>
        <v>#REF!</v>
      </c>
      <c r="CJ149" s="47" t="e">
        <f>VLOOKUP($AB149,#REF!,5,0)*(+CF149+CG149)</f>
        <v>#REF!</v>
      </c>
      <c r="CM149" s="47"/>
      <c r="CO149" s="47" t="e">
        <f t="shared" si="80"/>
        <v>#REF!</v>
      </c>
      <c r="CT149" s="47" t="e">
        <f t="shared" si="81"/>
        <v>#REF!</v>
      </c>
      <c r="CU149" s="66"/>
      <c r="CV149" s="47" t="e">
        <f t="shared" si="96"/>
        <v>#REF!</v>
      </c>
      <c r="CW149" s="47"/>
      <c r="CY149" s="47" t="e">
        <f>VLOOKUP($AA149,#REF!,6,0)*(+CV149+CW149)</f>
        <v>#REF!</v>
      </c>
      <c r="CZ149" s="47" t="e">
        <f>VLOOKUP($AB149,#REF!,6,0)*(+CV149+CW149)</f>
        <v>#REF!</v>
      </c>
      <c r="DC149" s="47"/>
      <c r="DE149" s="47" t="e">
        <f t="shared" si="83"/>
        <v>#REF!</v>
      </c>
      <c r="DJ149" s="47" t="e">
        <f t="shared" si="84"/>
        <v>#REF!</v>
      </c>
      <c r="DK149" s="66"/>
      <c r="DL149" s="47" t="e">
        <f t="shared" si="86"/>
        <v>#REF!</v>
      </c>
      <c r="DM149" s="47"/>
      <c r="DO149" s="47" t="e">
        <f>VLOOKUP($AA149,#REF!,7,0)*(+DL149+DM149)</f>
        <v>#REF!</v>
      </c>
      <c r="DP149" s="47" t="e">
        <f>VLOOKUP($AB149,#REF!,7,0)*(+DL149+DM149)</f>
        <v>#REF!</v>
      </c>
      <c r="DS149" s="47"/>
      <c r="DU149" s="47" t="e">
        <f t="shared" si="87"/>
        <v>#REF!</v>
      </c>
      <c r="DZ149" s="47" t="e">
        <f t="shared" si="88"/>
        <v>#REF!</v>
      </c>
      <c r="EA149" s="66"/>
    </row>
    <row r="150" spans="1:131" x14ac:dyDescent="0.2">
      <c r="A150" s="38" t="s">
        <v>380</v>
      </c>
      <c r="B150" s="39" t="s">
        <v>249</v>
      </c>
      <c r="C150" s="49" t="s">
        <v>340</v>
      </c>
      <c r="D150" s="39"/>
      <c r="E150" s="40"/>
      <c r="F150" s="41"/>
      <c r="G150" s="41"/>
      <c r="H150" s="41"/>
      <c r="I150" s="41"/>
      <c r="J150" s="41"/>
      <c r="K150" s="51"/>
      <c r="L150" s="41"/>
      <c r="M150" s="41"/>
      <c r="N150" s="41"/>
      <c r="O150" s="41"/>
      <c r="P150" s="41"/>
      <c r="Q150" s="41"/>
      <c r="R150" s="41"/>
      <c r="S150" s="41"/>
      <c r="T150" s="42">
        <f t="shared" si="90"/>
        <v>0</v>
      </c>
      <c r="U150" s="43"/>
      <c r="V150" s="139">
        <v>0</v>
      </c>
      <c r="W150" s="143" t="s">
        <v>368</v>
      </c>
      <c r="X150" s="143">
        <v>11</v>
      </c>
      <c r="Y150" s="171" t="s">
        <v>423</v>
      </c>
      <c r="Z150" s="171" t="s">
        <v>342</v>
      </c>
      <c r="AA150" s="44" t="s">
        <v>290</v>
      </c>
      <c r="AB150" s="188" t="s">
        <v>513</v>
      </c>
      <c r="AC150" s="10"/>
      <c r="AD150" s="13"/>
      <c r="AE150" s="10"/>
      <c r="AF150" s="10"/>
      <c r="AG150" s="45"/>
      <c r="AH150" s="45">
        <v>75000</v>
      </c>
      <c r="AI150" s="45"/>
      <c r="AJ150" s="41"/>
      <c r="AK150" s="45"/>
      <c r="AL150" s="45"/>
      <c r="AN150" s="128">
        <v>0</v>
      </c>
      <c r="AO150" s="45"/>
      <c r="AP150" s="46">
        <f t="shared" si="91"/>
        <v>75000</v>
      </c>
      <c r="AQ150" s="47"/>
      <c r="AR150" s="55"/>
      <c r="AS150" s="55"/>
      <c r="AW150" s="48">
        <f t="shared" si="92"/>
        <v>75000</v>
      </c>
      <c r="AX150" s="66"/>
      <c r="AY150" s="47">
        <f t="shared" si="93"/>
        <v>75000</v>
      </c>
      <c r="AZ150" s="47"/>
      <c r="BB150" s="47" t="e">
        <f>VLOOKUP($AA150,#REF!,3,0)*(+AY150+AZ150)</f>
        <v>#REF!</v>
      </c>
      <c r="BC150" s="47" t="e">
        <f>VLOOKUP($AB150,#REF!,3,0)*(+AY150+AZ150)</f>
        <v>#REF!</v>
      </c>
      <c r="BE150" s="47"/>
      <c r="BH150" s="47" t="e">
        <f t="shared" si="75"/>
        <v>#REF!</v>
      </c>
      <c r="BM150" s="47" t="e">
        <f t="shared" si="76"/>
        <v>#REF!</v>
      </c>
      <c r="BN150" s="66"/>
      <c r="BO150" s="47" t="e">
        <f t="shared" si="94"/>
        <v>#REF!</v>
      </c>
      <c r="BP150" s="47"/>
      <c r="BR150" s="47" t="e">
        <f>VLOOKUP($AA150,#REF!,4,0)*(+BO150+BP150)</f>
        <v>#REF!</v>
      </c>
      <c r="BS150" s="47" t="e">
        <f>VLOOKUP($AB150,#REF!,4,0)*(+BO150+BP150)</f>
        <v>#REF!</v>
      </c>
      <c r="BV150" s="47"/>
      <c r="BY150" s="47" t="e">
        <f t="shared" si="89"/>
        <v>#REF!</v>
      </c>
      <c r="CD150" s="47" t="e">
        <f t="shared" si="78"/>
        <v>#REF!</v>
      </c>
      <c r="CE150" s="66"/>
      <c r="CF150" s="47" t="e">
        <f t="shared" si="95"/>
        <v>#REF!</v>
      </c>
      <c r="CG150" s="47"/>
      <c r="CI150" s="47" t="e">
        <f>VLOOKUP($AA150,#REF!,5,0)*(+CF150+CG150)</f>
        <v>#REF!</v>
      </c>
      <c r="CJ150" s="47" t="e">
        <f>VLOOKUP($AB150,#REF!,5,0)*(+CF150+CG150)</f>
        <v>#REF!</v>
      </c>
      <c r="CM150" s="47"/>
      <c r="CO150" s="47" t="e">
        <f t="shared" si="80"/>
        <v>#REF!</v>
      </c>
      <c r="CT150" s="47" t="e">
        <f t="shared" si="81"/>
        <v>#REF!</v>
      </c>
      <c r="CU150" s="66"/>
      <c r="CV150" s="47" t="e">
        <f t="shared" si="96"/>
        <v>#REF!</v>
      </c>
      <c r="CW150" s="47"/>
      <c r="CY150" s="47" t="e">
        <f>VLOOKUP($AA150,#REF!,6,0)*(+CV150+CW150)</f>
        <v>#REF!</v>
      </c>
      <c r="CZ150" s="47" t="e">
        <f>VLOOKUP($AB150,#REF!,6,0)*(+CV150+CW150)</f>
        <v>#REF!</v>
      </c>
      <c r="DC150" s="47"/>
      <c r="DE150" s="47" t="e">
        <f t="shared" si="83"/>
        <v>#REF!</v>
      </c>
      <c r="DJ150" s="47" t="e">
        <f t="shared" si="84"/>
        <v>#REF!</v>
      </c>
      <c r="DK150" s="66"/>
      <c r="DL150" s="47" t="e">
        <f t="shared" si="86"/>
        <v>#REF!</v>
      </c>
      <c r="DM150" s="47"/>
      <c r="DO150" s="47" t="e">
        <f>VLOOKUP($AA150,#REF!,7,0)*(+DL150+DM150)</f>
        <v>#REF!</v>
      </c>
      <c r="DP150" s="47" t="e">
        <f>VLOOKUP($AB150,#REF!,7,0)*(+DL150+DM150)</f>
        <v>#REF!</v>
      </c>
      <c r="DS150" s="47"/>
      <c r="DU150" s="47" t="e">
        <f t="shared" si="87"/>
        <v>#REF!</v>
      </c>
      <c r="DZ150" s="47" t="e">
        <f t="shared" si="88"/>
        <v>#REF!</v>
      </c>
      <c r="EA150" s="66"/>
    </row>
    <row r="151" spans="1:131" x14ac:dyDescent="0.2">
      <c r="A151" s="38" t="s">
        <v>380</v>
      </c>
      <c r="B151" s="39" t="s">
        <v>249</v>
      </c>
      <c r="C151" s="49" t="s">
        <v>284</v>
      </c>
      <c r="D151" s="39"/>
      <c r="E151" s="40"/>
      <c r="F151" s="41"/>
      <c r="G151" s="41"/>
      <c r="H151" s="41"/>
      <c r="I151" s="41"/>
      <c r="J151" s="41"/>
      <c r="K151" s="51"/>
      <c r="L151" s="41"/>
      <c r="M151" s="41"/>
      <c r="N151" s="41"/>
      <c r="O151" s="41"/>
      <c r="P151" s="41"/>
      <c r="Q151" s="41"/>
      <c r="R151" s="41"/>
      <c r="S151" s="41"/>
      <c r="T151" s="42">
        <f t="shared" si="90"/>
        <v>0</v>
      </c>
      <c r="U151" s="43"/>
      <c r="V151" s="139">
        <v>0</v>
      </c>
      <c r="W151" s="143" t="s">
        <v>368</v>
      </c>
      <c r="X151" s="143">
        <v>11</v>
      </c>
      <c r="Y151" s="171" t="s">
        <v>423</v>
      </c>
      <c r="Z151" s="171" t="s">
        <v>342</v>
      </c>
      <c r="AA151" s="44" t="s">
        <v>290</v>
      </c>
      <c r="AB151" s="188" t="s">
        <v>513</v>
      </c>
      <c r="AC151" s="10"/>
      <c r="AD151" s="13"/>
      <c r="AE151" s="10"/>
      <c r="AF151" s="10"/>
      <c r="AG151" s="45"/>
      <c r="AH151" s="45">
        <v>129000</v>
      </c>
      <c r="AI151" s="45"/>
      <c r="AJ151" s="41"/>
      <c r="AK151" s="45"/>
      <c r="AL151" s="45"/>
      <c r="AN151" s="128">
        <v>0</v>
      </c>
      <c r="AO151" s="45"/>
      <c r="AP151" s="46">
        <f t="shared" si="91"/>
        <v>129000</v>
      </c>
      <c r="AQ151" s="47"/>
      <c r="AR151" s="55"/>
      <c r="AS151" s="55"/>
      <c r="AW151" s="48">
        <f t="shared" si="92"/>
        <v>129000</v>
      </c>
      <c r="AX151" s="66"/>
      <c r="AY151" s="47">
        <f t="shared" si="93"/>
        <v>129000</v>
      </c>
      <c r="AZ151" s="249">
        <v>-129000</v>
      </c>
      <c r="BB151" s="47" t="e">
        <f>VLOOKUP($AA151,#REF!,3,0)*(+AY151+AZ151)</f>
        <v>#REF!</v>
      </c>
      <c r="BC151" s="47" t="e">
        <f>VLOOKUP($AB151,#REF!,3,0)*(+AY151+AZ151)</f>
        <v>#REF!</v>
      </c>
      <c r="BE151" s="47"/>
      <c r="BH151" s="47" t="e">
        <f t="shared" si="75"/>
        <v>#REF!</v>
      </c>
      <c r="BM151" s="47" t="e">
        <f t="shared" si="76"/>
        <v>#REF!</v>
      </c>
      <c r="BN151" s="66"/>
      <c r="BO151" s="47" t="e">
        <f t="shared" si="94"/>
        <v>#REF!</v>
      </c>
      <c r="BP151" s="47"/>
      <c r="BR151" s="47" t="e">
        <f>VLOOKUP($AA151,#REF!,4,0)*(+BO151+BP151)</f>
        <v>#REF!</v>
      </c>
      <c r="BS151" s="47" t="e">
        <f>VLOOKUP($AB151,#REF!,4,0)*(+BO151+BP151)</f>
        <v>#REF!</v>
      </c>
      <c r="BV151" s="47"/>
      <c r="BY151" s="47" t="e">
        <f t="shared" si="89"/>
        <v>#REF!</v>
      </c>
      <c r="CD151" s="47" t="e">
        <f t="shared" si="78"/>
        <v>#REF!</v>
      </c>
      <c r="CE151" s="66"/>
      <c r="CF151" s="47" t="e">
        <f t="shared" si="95"/>
        <v>#REF!</v>
      </c>
      <c r="CG151" s="47"/>
      <c r="CI151" s="47" t="e">
        <f>VLOOKUP($AA151,#REF!,5,0)*(+CF151+CG151)</f>
        <v>#REF!</v>
      </c>
      <c r="CJ151" s="47" t="e">
        <f>VLOOKUP($AB151,#REF!,5,0)*(+CF151+CG151)</f>
        <v>#REF!</v>
      </c>
      <c r="CM151" s="47"/>
      <c r="CO151" s="47" t="e">
        <f t="shared" si="80"/>
        <v>#REF!</v>
      </c>
      <c r="CT151" s="47" t="e">
        <f t="shared" si="81"/>
        <v>#REF!</v>
      </c>
      <c r="CU151" s="66"/>
      <c r="CV151" s="47" t="e">
        <f t="shared" si="96"/>
        <v>#REF!</v>
      </c>
      <c r="CW151" s="47"/>
      <c r="CY151" s="47" t="e">
        <f>VLOOKUP($AA151,#REF!,6,0)*(+CV151+CW151)</f>
        <v>#REF!</v>
      </c>
      <c r="CZ151" s="47" t="e">
        <f>VLOOKUP($AB151,#REF!,6,0)*(+CV151+CW151)</f>
        <v>#REF!</v>
      </c>
      <c r="DC151" s="47"/>
      <c r="DE151" s="47" t="e">
        <f t="shared" si="83"/>
        <v>#REF!</v>
      </c>
      <c r="DJ151" s="47" t="e">
        <f t="shared" si="84"/>
        <v>#REF!</v>
      </c>
      <c r="DK151" s="66"/>
      <c r="DL151" s="47" t="e">
        <f t="shared" si="86"/>
        <v>#REF!</v>
      </c>
      <c r="DM151" s="47"/>
      <c r="DO151" s="47" t="e">
        <f>VLOOKUP($AA151,#REF!,7,0)*(+DL151+DM151)</f>
        <v>#REF!</v>
      </c>
      <c r="DP151" s="47" t="e">
        <f>VLOOKUP($AB151,#REF!,7,0)*(+DL151+DM151)</f>
        <v>#REF!</v>
      </c>
      <c r="DS151" s="47"/>
      <c r="DU151" s="47" t="e">
        <f t="shared" si="87"/>
        <v>#REF!</v>
      </c>
      <c r="DZ151" s="47" t="e">
        <f t="shared" si="88"/>
        <v>#REF!</v>
      </c>
      <c r="EA151" s="66"/>
    </row>
    <row r="152" spans="1:131" x14ac:dyDescent="0.2">
      <c r="A152" s="38" t="s">
        <v>380</v>
      </c>
      <c r="B152" s="39" t="s">
        <v>249</v>
      </c>
      <c r="C152" s="49" t="s">
        <v>285</v>
      </c>
      <c r="D152" s="39"/>
      <c r="E152" s="40"/>
      <c r="F152" s="41"/>
      <c r="G152" s="41"/>
      <c r="H152" s="41"/>
      <c r="I152" s="41"/>
      <c r="J152" s="41"/>
      <c r="K152" s="51"/>
      <c r="L152" s="41"/>
      <c r="M152" s="41"/>
      <c r="N152" s="41"/>
      <c r="O152" s="41"/>
      <c r="P152" s="41"/>
      <c r="Q152" s="41"/>
      <c r="R152" s="41"/>
      <c r="S152" s="41"/>
      <c r="T152" s="42">
        <f t="shared" si="90"/>
        <v>0</v>
      </c>
      <c r="U152" s="43"/>
      <c r="V152" s="139">
        <v>0</v>
      </c>
      <c r="W152" s="143" t="s">
        <v>368</v>
      </c>
      <c r="X152" s="143">
        <v>11</v>
      </c>
      <c r="Y152" s="171" t="s">
        <v>423</v>
      </c>
      <c r="Z152" s="171" t="s">
        <v>342</v>
      </c>
      <c r="AA152" s="44" t="s">
        <v>290</v>
      </c>
      <c r="AB152" s="188" t="s">
        <v>513</v>
      </c>
      <c r="AC152" s="10"/>
      <c r="AD152" s="13"/>
      <c r="AE152" s="10"/>
      <c r="AF152" s="10"/>
      <c r="AG152" s="45"/>
      <c r="AH152" s="45">
        <v>50000</v>
      </c>
      <c r="AI152" s="45"/>
      <c r="AJ152" s="41"/>
      <c r="AK152" s="45"/>
      <c r="AL152" s="45"/>
      <c r="AN152" s="128">
        <v>0</v>
      </c>
      <c r="AO152" s="45"/>
      <c r="AP152" s="46">
        <f t="shared" si="91"/>
        <v>50000</v>
      </c>
      <c r="AQ152" s="47"/>
      <c r="AR152" s="55"/>
      <c r="AS152" s="55"/>
      <c r="AW152" s="48">
        <f t="shared" si="92"/>
        <v>50000</v>
      </c>
      <c r="AX152" s="66"/>
      <c r="AY152" s="47">
        <f t="shared" si="93"/>
        <v>50000</v>
      </c>
      <c r="AZ152" s="47"/>
      <c r="BB152" s="47" t="e">
        <f>VLOOKUP($AA152,#REF!,3,0)*(+AY152+AZ152)</f>
        <v>#REF!</v>
      </c>
      <c r="BC152" s="47" t="e">
        <f>VLOOKUP($AB152,#REF!,3,0)*(+AY152+AZ152)</f>
        <v>#REF!</v>
      </c>
      <c r="BE152" s="47"/>
      <c r="BH152" s="47" t="e">
        <f t="shared" si="75"/>
        <v>#REF!</v>
      </c>
      <c r="BM152" s="47" t="e">
        <f t="shared" si="76"/>
        <v>#REF!</v>
      </c>
      <c r="BN152" s="66"/>
      <c r="BO152" s="47" t="e">
        <f t="shared" si="94"/>
        <v>#REF!</v>
      </c>
      <c r="BP152" s="47"/>
      <c r="BR152" s="47" t="e">
        <f>VLOOKUP($AA152,#REF!,4,0)*(+BO152+BP152)</f>
        <v>#REF!</v>
      </c>
      <c r="BS152" s="47" t="e">
        <f>VLOOKUP($AB152,#REF!,4,0)*(+BO152+BP152)</f>
        <v>#REF!</v>
      </c>
      <c r="BV152" s="47"/>
      <c r="BY152" s="47" t="e">
        <f t="shared" si="89"/>
        <v>#REF!</v>
      </c>
      <c r="CD152" s="47" t="e">
        <f t="shared" si="78"/>
        <v>#REF!</v>
      </c>
      <c r="CE152" s="66"/>
      <c r="CF152" s="47" t="e">
        <f t="shared" si="95"/>
        <v>#REF!</v>
      </c>
      <c r="CG152" s="47"/>
      <c r="CI152" s="47" t="e">
        <f>VLOOKUP($AA152,#REF!,5,0)*(+CF152+CG152)</f>
        <v>#REF!</v>
      </c>
      <c r="CJ152" s="47" t="e">
        <f>VLOOKUP($AB152,#REF!,5,0)*(+CF152+CG152)</f>
        <v>#REF!</v>
      </c>
      <c r="CM152" s="47"/>
      <c r="CO152" s="47" t="e">
        <f t="shared" si="80"/>
        <v>#REF!</v>
      </c>
      <c r="CT152" s="47" t="e">
        <f t="shared" si="81"/>
        <v>#REF!</v>
      </c>
      <c r="CU152" s="66"/>
      <c r="CV152" s="47" t="e">
        <f t="shared" si="96"/>
        <v>#REF!</v>
      </c>
      <c r="CW152" s="47"/>
      <c r="CY152" s="47" t="e">
        <f>VLOOKUP($AA152,#REF!,6,0)*(+CV152+CW152)</f>
        <v>#REF!</v>
      </c>
      <c r="CZ152" s="47" t="e">
        <f>VLOOKUP($AB152,#REF!,6,0)*(+CV152+CW152)</f>
        <v>#REF!</v>
      </c>
      <c r="DC152" s="47"/>
      <c r="DE152" s="47" t="e">
        <f t="shared" si="83"/>
        <v>#REF!</v>
      </c>
      <c r="DJ152" s="47" t="e">
        <f t="shared" si="84"/>
        <v>#REF!</v>
      </c>
      <c r="DK152" s="66"/>
      <c r="DL152" s="47" t="e">
        <f t="shared" si="86"/>
        <v>#REF!</v>
      </c>
      <c r="DM152" s="47"/>
      <c r="DO152" s="47" t="e">
        <f>VLOOKUP($AA152,#REF!,7,0)*(+DL152+DM152)</f>
        <v>#REF!</v>
      </c>
      <c r="DP152" s="47" t="e">
        <f>VLOOKUP($AB152,#REF!,7,0)*(+DL152+DM152)</f>
        <v>#REF!</v>
      </c>
      <c r="DS152" s="47"/>
      <c r="DU152" s="47" t="e">
        <f t="shared" si="87"/>
        <v>#REF!</v>
      </c>
      <c r="DZ152" s="47" t="e">
        <f t="shared" si="88"/>
        <v>#REF!</v>
      </c>
      <c r="EA152" s="66"/>
    </row>
    <row r="153" spans="1:131" x14ac:dyDescent="0.2">
      <c r="A153" s="38" t="s">
        <v>380</v>
      </c>
      <c r="B153" s="39" t="s">
        <v>249</v>
      </c>
      <c r="C153" s="49" t="s">
        <v>341</v>
      </c>
      <c r="D153" s="39"/>
      <c r="E153" s="40"/>
      <c r="F153" s="41"/>
      <c r="G153" s="41"/>
      <c r="H153" s="41"/>
      <c r="I153" s="41"/>
      <c r="J153" s="41"/>
      <c r="K153" s="51"/>
      <c r="L153" s="41"/>
      <c r="M153" s="41"/>
      <c r="N153" s="41"/>
      <c r="O153" s="41"/>
      <c r="P153" s="41"/>
      <c r="Q153" s="41"/>
      <c r="R153" s="41"/>
      <c r="S153" s="41"/>
      <c r="T153" s="42">
        <f t="shared" si="90"/>
        <v>0</v>
      </c>
      <c r="U153" s="43"/>
      <c r="V153" s="139">
        <v>0</v>
      </c>
      <c r="W153" s="143" t="s">
        <v>368</v>
      </c>
      <c r="X153" s="143">
        <v>11</v>
      </c>
      <c r="Y153" s="171" t="s">
        <v>423</v>
      </c>
      <c r="Z153" s="171" t="s">
        <v>342</v>
      </c>
      <c r="AA153" s="44" t="s">
        <v>290</v>
      </c>
      <c r="AB153" s="188" t="s">
        <v>513</v>
      </c>
      <c r="AC153" s="10"/>
      <c r="AD153" s="13"/>
      <c r="AE153" s="10"/>
      <c r="AF153" s="10"/>
      <c r="AG153" s="45"/>
      <c r="AH153" s="45">
        <v>200000</v>
      </c>
      <c r="AI153" s="45"/>
      <c r="AJ153" s="41"/>
      <c r="AK153" s="45"/>
      <c r="AL153" s="45"/>
      <c r="AN153" s="128">
        <v>0</v>
      </c>
      <c r="AO153" s="45"/>
      <c r="AP153" s="46">
        <f t="shared" si="91"/>
        <v>200000</v>
      </c>
      <c r="AQ153" s="47"/>
      <c r="AR153" s="55"/>
      <c r="AS153" s="55"/>
      <c r="AW153" s="48">
        <f t="shared" si="92"/>
        <v>200000</v>
      </c>
      <c r="AX153" s="66"/>
      <c r="AY153" s="47">
        <f t="shared" si="93"/>
        <v>200000</v>
      </c>
      <c r="AZ153" s="47"/>
      <c r="BB153" s="47" t="e">
        <f>VLOOKUP($AA153,#REF!,3,0)*(+AY153+AZ153)</f>
        <v>#REF!</v>
      </c>
      <c r="BC153" s="47" t="e">
        <f>VLOOKUP($AB153,#REF!,3,0)*(+AY153+AZ153)</f>
        <v>#REF!</v>
      </c>
      <c r="BE153" s="47"/>
      <c r="BH153" s="47" t="e">
        <f t="shared" si="75"/>
        <v>#REF!</v>
      </c>
      <c r="BM153" s="47" t="e">
        <f t="shared" si="76"/>
        <v>#REF!</v>
      </c>
      <c r="BN153" s="66"/>
      <c r="BO153" s="47" t="e">
        <f t="shared" si="94"/>
        <v>#REF!</v>
      </c>
      <c r="BP153" s="47"/>
      <c r="BR153" s="47" t="e">
        <f>VLOOKUP($AA153,#REF!,4,0)*(+BO153+BP153)</f>
        <v>#REF!</v>
      </c>
      <c r="BS153" s="47" t="e">
        <f>VLOOKUP($AB153,#REF!,4,0)*(+BO153+BP153)</f>
        <v>#REF!</v>
      </c>
      <c r="BV153" s="47"/>
      <c r="BY153" s="47" t="e">
        <f t="shared" si="89"/>
        <v>#REF!</v>
      </c>
      <c r="CD153" s="47" t="e">
        <f t="shared" si="78"/>
        <v>#REF!</v>
      </c>
      <c r="CE153" s="66"/>
      <c r="CF153" s="47" t="e">
        <f t="shared" si="95"/>
        <v>#REF!</v>
      </c>
      <c r="CG153" s="47"/>
      <c r="CI153" s="47" t="e">
        <f>VLOOKUP($AA153,#REF!,5,0)*(+CF153+CG153)</f>
        <v>#REF!</v>
      </c>
      <c r="CJ153" s="47" t="e">
        <f>VLOOKUP($AB153,#REF!,5,0)*(+CF153+CG153)</f>
        <v>#REF!</v>
      </c>
      <c r="CM153" s="47"/>
      <c r="CO153" s="47" t="e">
        <f t="shared" si="80"/>
        <v>#REF!</v>
      </c>
      <c r="CT153" s="47" t="e">
        <f t="shared" si="81"/>
        <v>#REF!</v>
      </c>
      <c r="CU153" s="66"/>
      <c r="CV153" s="47" t="e">
        <f t="shared" si="96"/>
        <v>#REF!</v>
      </c>
      <c r="CW153" s="47"/>
      <c r="CY153" s="47" t="e">
        <f>VLOOKUP($AA153,#REF!,6,0)*(+CV153+CW153)</f>
        <v>#REF!</v>
      </c>
      <c r="CZ153" s="47" t="e">
        <f>VLOOKUP($AB153,#REF!,6,0)*(+CV153+CW153)</f>
        <v>#REF!</v>
      </c>
      <c r="DC153" s="47"/>
      <c r="DE153" s="47" t="e">
        <f t="shared" si="83"/>
        <v>#REF!</v>
      </c>
      <c r="DJ153" s="47" t="e">
        <f t="shared" si="84"/>
        <v>#REF!</v>
      </c>
      <c r="DK153" s="66"/>
      <c r="DL153" s="47" t="e">
        <f t="shared" si="86"/>
        <v>#REF!</v>
      </c>
      <c r="DM153" s="47"/>
      <c r="DO153" s="47" t="e">
        <f>VLOOKUP($AA153,#REF!,7,0)*(+DL153+DM153)</f>
        <v>#REF!</v>
      </c>
      <c r="DP153" s="47" t="e">
        <f>VLOOKUP($AB153,#REF!,7,0)*(+DL153+DM153)</f>
        <v>#REF!</v>
      </c>
      <c r="DS153" s="47"/>
      <c r="DU153" s="47" t="e">
        <f t="shared" si="87"/>
        <v>#REF!</v>
      </c>
      <c r="DZ153" s="47" t="e">
        <f t="shared" si="88"/>
        <v>#REF!</v>
      </c>
      <c r="EA153" s="66"/>
    </row>
    <row r="154" spans="1:131" x14ac:dyDescent="0.2">
      <c r="A154" s="38" t="s">
        <v>380</v>
      </c>
      <c r="B154" s="39" t="s">
        <v>249</v>
      </c>
      <c r="C154" s="49" t="s">
        <v>286</v>
      </c>
      <c r="D154" s="39"/>
      <c r="E154" s="40"/>
      <c r="F154" s="41"/>
      <c r="G154" s="41"/>
      <c r="H154" s="41"/>
      <c r="I154" s="41"/>
      <c r="J154" s="41"/>
      <c r="K154" s="51"/>
      <c r="L154" s="41"/>
      <c r="M154" s="41"/>
      <c r="N154" s="41"/>
      <c r="O154" s="41"/>
      <c r="P154" s="41"/>
      <c r="Q154" s="41"/>
      <c r="R154" s="41"/>
      <c r="S154" s="41"/>
      <c r="T154" s="42">
        <f t="shared" si="90"/>
        <v>0</v>
      </c>
      <c r="U154" s="43"/>
      <c r="V154" s="139">
        <v>0</v>
      </c>
      <c r="W154" s="143" t="s">
        <v>368</v>
      </c>
      <c r="X154" s="143">
        <v>11</v>
      </c>
      <c r="Y154" s="171" t="s">
        <v>423</v>
      </c>
      <c r="Z154" s="171" t="s">
        <v>342</v>
      </c>
      <c r="AA154" s="44" t="s">
        <v>290</v>
      </c>
      <c r="AB154" s="188" t="s">
        <v>513</v>
      </c>
      <c r="AC154" s="10"/>
      <c r="AD154" s="13"/>
      <c r="AE154" s="10"/>
      <c r="AF154" s="10"/>
      <c r="AG154" s="45"/>
      <c r="AH154" s="45">
        <v>50000</v>
      </c>
      <c r="AI154" s="45"/>
      <c r="AJ154" s="41"/>
      <c r="AK154" s="45"/>
      <c r="AL154" s="45"/>
      <c r="AN154" s="128">
        <v>0</v>
      </c>
      <c r="AO154" s="45"/>
      <c r="AP154" s="46">
        <f t="shared" si="91"/>
        <v>50000</v>
      </c>
      <c r="AQ154" s="47"/>
      <c r="AR154" s="55"/>
      <c r="AS154" s="55"/>
      <c r="AW154" s="48">
        <f t="shared" si="92"/>
        <v>50000</v>
      </c>
      <c r="AX154" s="66"/>
      <c r="AY154" s="47">
        <f t="shared" si="93"/>
        <v>50000</v>
      </c>
      <c r="AZ154" s="249">
        <v>-50000</v>
      </c>
      <c r="BB154" s="47" t="e">
        <f>VLOOKUP($AA154,#REF!,3,0)*(+AY154+AZ154)</f>
        <v>#REF!</v>
      </c>
      <c r="BC154" s="47" t="e">
        <f>VLOOKUP($AB154,#REF!,3,0)*(+AY154+AZ154)</f>
        <v>#REF!</v>
      </c>
      <c r="BE154" s="47"/>
      <c r="BH154" s="47" t="e">
        <f t="shared" si="75"/>
        <v>#REF!</v>
      </c>
      <c r="BM154" s="47" t="e">
        <f t="shared" si="76"/>
        <v>#REF!</v>
      </c>
      <c r="BN154" s="66"/>
      <c r="BO154" s="47" t="e">
        <f t="shared" si="94"/>
        <v>#REF!</v>
      </c>
      <c r="BP154" s="47"/>
      <c r="BR154" s="47" t="e">
        <f>VLOOKUP($AA154,#REF!,4,0)*(+BO154+BP154)</f>
        <v>#REF!</v>
      </c>
      <c r="BS154" s="47" t="e">
        <f>VLOOKUP($AB154,#REF!,4,0)*(+BO154+BP154)</f>
        <v>#REF!</v>
      </c>
      <c r="BV154" s="47"/>
      <c r="BY154" s="47" t="e">
        <f t="shared" si="89"/>
        <v>#REF!</v>
      </c>
      <c r="CD154" s="47" t="e">
        <f t="shared" si="78"/>
        <v>#REF!</v>
      </c>
      <c r="CE154" s="66"/>
      <c r="CF154" s="47" t="e">
        <f t="shared" si="95"/>
        <v>#REF!</v>
      </c>
      <c r="CG154" s="47"/>
      <c r="CI154" s="47" t="e">
        <f>VLOOKUP($AA154,#REF!,5,0)*(+CF154+CG154)</f>
        <v>#REF!</v>
      </c>
      <c r="CJ154" s="47" t="e">
        <f>VLOOKUP($AB154,#REF!,5,0)*(+CF154+CG154)</f>
        <v>#REF!</v>
      </c>
      <c r="CM154" s="47"/>
      <c r="CO154" s="47" t="e">
        <f t="shared" si="80"/>
        <v>#REF!</v>
      </c>
      <c r="CT154" s="47" t="e">
        <f t="shared" si="81"/>
        <v>#REF!</v>
      </c>
      <c r="CU154" s="66"/>
      <c r="CV154" s="47" t="e">
        <f t="shared" si="96"/>
        <v>#REF!</v>
      </c>
      <c r="CW154" s="47"/>
      <c r="CY154" s="47" t="e">
        <f>VLOOKUP($AA154,#REF!,6,0)*(+CV154+CW154)</f>
        <v>#REF!</v>
      </c>
      <c r="CZ154" s="47" t="e">
        <f>VLOOKUP($AB154,#REF!,6,0)*(+CV154+CW154)</f>
        <v>#REF!</v>
      </c>
      <c r="DC154" s="47"/>
      <c r="DE154" s="47" t="e">
        <f t="shared" si="83"/>
        <v>#REF!</v>
      </c>
      <c r="DJ154" s="47" t="e">
        <f t="shared" si="84"/>
        <v>#REF!</v>
      </c>
      <c r="DK154" s="66"/>
      <c r="DL154" s="47" t="e">
        <f t="shared" si="86"/>
        <v>#REF!</v>
      </c>
      <c r="DM154" s="47"/>
      <c r="DO154" s="47" t="e">
        <f>VLOOKUP($AA154,#REF!,7,0)*(+DL154+DM154)</f>
        <v>#REF!</v>
      </c>
      <c r="DP154" s="47" t="e">
        <f>VLOOKUP($AB154,#REF!,7,0)*(+DL154+DM154)</f>
        <v>#REF!</v>
      </c>
      <c r="DS154" s="47"/>
      <c r="DU154" s="47" t="e">
        <f t="shared" si="87"/>
        <v>#REF!</v>
      </c>
      <c r="DZ154" s="47" t="e">
        <f t="shared" si="88"/>
        <v>#REF!</v>
      </c>
      <c r="EA154" s="66"/>
    </row>
    <row r="155" spans="1:131" x14ac:dyDescent="0.2">
      <c r="A155" s="38" t="s">
        <v>380</v>
      </c>
      <c r="B155" s="39" t="s">
        <v>249</v>
      </c>
      <c r="C155" s="49" t="s">
        <v>337</v>
      </c>
      <c r="D155" s="39"/>
      <c r="E155" s="40"/>
      <c r="F155" s="41"/>
      <c r="G155" s="41"/>
      <c r="H155" s="41"/>
      <c r="I155" s="41"/>
      <c r="J155" s="41"/>
      <c r="K155" s="51"/>
      <c r="L155" s="41"/>
      <c r="M155" s="41"/>
      <c r="N155" s="41"/>
      <c r="O155" s="41"/>
      <c r="P155" s="41"/>
      <c r="Q155" s="41"/>
      <c r="R155" s="41"/>
      <c r="S155" s="41"/>
      <c r="T155" s="42">
        <f t="shared" si="90"/>
        <v>0</v>
      </c>
      <c r="U155" s="43"/>
      <c r="V155" s="139">
        <v>0</v>
      </c>
      <c r="W155" s="143" t="s">
        <v>368</v>
      </c>
      <c r="X155" s="143">
        <v>11</v>
      </c>
      <c r="Y155" s="171" t="s">
        <v>423</v>
      </c>
      <c r="Z155" s="171" t="s">
        <v>342</v>
      </c>
      <c r="AA155" s="44" t="s">
        <v>290</v>
      </c>
      <c r="AB155" s="188" t="s">
        <v>513</v>
      </c>
      <c r="AC155" s="10"/>
      <c r="AD155" s="13"/>
      <c r="AE155" s="10"/>
      <c r="AF155" s="10"/>
      <c r="AG155" s="45"/>
      <c r="AH155" s="45">
        <v>1415000</v>
      </c>
      <c r="AI155" s="45"/>
      <c r="AJ155" s="41"/>
      <c r="AK155" s="45"/>
      <c r="AL155" s="45"/>
      <c r="AN155" s="128">
        <v>0</v>
      </c>
      <c r="AO155" s="45"/>
      <c r="AP155" s="46">
        <f t="shared" si="91"/>
        <v>1415000</v>
      </c>
      <c r="AQ155" s="47"/>
      <c r="AR155" s="55"/>
      <c r="AS155" s="55"/>
      <c r="AT155" s="54"/>
      <c r="AU155" s="54"/>
      <c r="AV155" s="38">
        <v>-500000</v>
      </c>
      <c r="AW155" s="48">
        <f t="shared" si="92"/>
        <v>915000</v>
      </c>
      <c r="AX155" s="66"/>
      <c r="AY155" s="47">
        <f t="shared" si="93"/>
        <v>1415000</v>
      </c>
      <c r="AZ155" s="146">
        <v>0</v>
      </c>
      <c r="BB155" s="47" t="e">
        <f>VLOOKUP($AA155,#REF!,3,0)*(+AY155+AZ155)</f>
        <v>#REF!</v>
      </c>
      <c r="BC155" s="47" t="e">
        <f>VLOOKUP($AB155,#REF!,3,0)*(+AY155+AZ155)</f>
        <v>#REF!</v>
      </c>
      <c r="BE155" s="47"/>
      <c r="BH155" s="47" t="e">
        <f t="shared" si="75"/>
        <v>#REF!</v>
      </c>
      <c r="BM155" s="47" t="e">
        <f t="shared" si="76"/>
        <v>#REF!</v>
      </c>
      <c r="BN155" s="66"/>
      <c r="BO155" s="47" t="e">
        <f t="shared" si="94"/>
        <v>#REF!</v>
      </c>
      <c r="BP155" s="47"/>
      <c r="BR155" s="47" t="e">
        <f>VLOOKUP($AA155,#REF!,4,0)*(+BO155+BP155)</f>
        <v>#REF!</v>
      </c>
      <c r="BS155" s="47" t="e">
        <f>VLOOKUP($AB155,#REF!,4,0)*(+BO155+BP155)</f>
        <v>#REF!</v>
      </c>
      <c r="BV155" s="47"/>
      <c r="BY155" s="47" t="e">
        <f t="shared" si="89"/>
        <v>#REF!</v>
      </c>
      <c r="CD155" s="47" t="e">
        <f t="shared" si="78"/>
        <v>#REF!</v>
      </c>
      <c r="CE155" s="66"/>
      <c r="CF155" s="47" t="e">
        <f t="shared" si="95"/>
        <v>#REF!</v>
      </c>
      <c r="CG155" s="47"/>
      <c r="CI155" s="47" t="e">
        <f>VLOOKUP($AA155,#REF!,5,0)*(+CF155+CG155)</f>
        <v>#REF!</v>
      </c>
      <c r="CJ155" s="47" t="e">
        <f>VLOOKUP($AB155,#REF!,5,0)*(+CF155+CG155)</f>
        <v>#REF!</v>
      </c>
      <c r="CM155" s="47"/>
      <c r="CO155" s="47" t="e">
        <f t="shared" si="80"/>
        <v>#REF!</v>
      </c>
      <c r="CT155" s="47" t="e">
        <f t="shared" si="81"/>
        <v>#REF!</v>
      </c>
      <c r="CU155" s="66"/>
      <c r="CV155" s="47" t="e">
        <f t="shared" si="96"/>
        <v>#REF!</v>
      </c>
      <c r="CW155" s="47"/>
      <c r="CY155" s="47" t="e">
        <f>VLOOKUP($AA155,#REF!,6,0)*(+CV155+CW155)</f>
        <v>#REF!</v>
      </c>
      <c r="CZ155" s="47" t="e">
        <f>VLOOKUP($AB155,#REF!,6,0)*(+CV155+CW155)</f>
        <v>#REF!</v>
      </c>
      <c r="DC155" s="47"/>
      <c r="DE155" s="47" t="e">
        <f t="shared" si="83"/>
        <v>#REF!</v>
      </c>
      <c r="DJ155" s="47" t="e">
        <f t="shared" si="84"/>
        <v>#REF!</v>
      </c>
      <c r="DK155" s="66"/>
      <c r="DL155" s="47" t="e">
        <f t="shared" si="86"/>
        <v>#REF!</v>
      </c>
      <c r="DM155" s="47"/>
      <c r="DO155" s="47" t="e">
        <f>VLOOKUP($AA155,#REF!,7,0)*(+DL155+DM155)</f>
        <v>#REF!</v>
      </c>
      <c r="DP155" s="47" t="e">
        <f>VLOOKUP($AB155,#REF!,7,0)*(+DL155+DM155)</f>
        <v>#REF!</v>
      </c>
      <c r="DS155" s="47"/>
      <c r="DU155" s="47" t="e">
        <f t="shared" si="87"/>
        <v>#REF!</v>
      </c>
      <c r="DZ155" s="47" t="e">
        <f t="shared" si="88"/>
        <v>#REF!</v>
      </c>
      <c r="EA155" s="66"/>
    </row>
    <row r="156" spans="1:131" x14ac:dyDescent="0.2">
      <c r="A156" s="38" t="s">
        <v>380</v>
      </c>
      <c r="B156" s="39" t="s">
        <v>251</v>
      </c>
      <c r="C156" s="49" t="s">
        <v>361</v>
      </c>
      <c r="D156" s="39"/>
      <c r="E156" s="40">
        <v>-2755800</v>
      </c>
      <c r="F156" s="41">
        <f>761000+760800+1995000</f>
        <v>3516800</v>
      </c>
      <c r="G156" s="41"/>
      <c r="H156" s="41"/>
      <c r="I156" s="41"/>
      <c r="J156" s="41"/>
      <c r="K156" s="51"/>
      <c r="L156" s="41"/>
      <c r="M156" s="41"/>
      <c r="N156" s="41"/>
      <c r="O156" s="41"/>
      <c r="P156" s="41"/>
      <c r="Q156" s="41">
        <v>-761000</v>
      </c>
      <c r="R156" s="41"/>
      <c r="S156" s="41"/>
      <c r="T156" s="42">
        <f t="shared" si="90"/>
        <v>0</v>
      </c>
      <c r="U156" s="43"/>
      <c r="V156" s="139">
        <v>0</v>
      </c>
      <c r="W156" s="143" t="s">
        <v>368</v>
      </c>
      <c r="X156" s="143">
        <v>11</v>
      </c>
      <c r="Y156" s="171" t="s">
        <v>423</v>
      </c>
      <c r="Z156" s="171" t="s">
        <v>342</v>
      </c>
      <c r="AA156" s="44" t="s">
        <v>290</v>
      </c>
      <c r="AB156" s="188" t="s">
        <v>513</v>
      </c>
      <c r="AC156" s="10"/>
      <c r="AD156" s="13">
        <v>0</v>
      </c>
      <c r="AE156" s="10"/>
      <c r="AF156" s="10">
        <f>5459528+90817</f>
        <v>5550345</v>
      </c>
      <c r="AG156" s="45"/>
      <c r="AH156" s="45"/>
      <c r="AI156" s="45"/>
      <c r="AJ156" s="41"/>
      <c r="AK156" s="45">
        <f>-5300000+1700000</f>
        <v>-3600000</v>
      </c>
      <c r="AL156" s="45"/>
      <c r="AN156" s="128">
        <v>0</v>
      </c>
      <c r="AO156" s="45"/>
      <c r="AP156" s="46">
        <f t="shared" si="91"/>
        <v>1950345</v>
      </c>
      <c r="AQ156" s="47"/>
      <c r="AT156" s="55"/>
      <c r="AU156" s="55"/>
      <c r="AW156" s="48">
        <f t="shared" si="92"/>
        <v>1950345</v>
      </c>
      <c r="AX156" s="66"/>
      <c r="AY156" s="47">
        <f>+AP156-AC156</f>
        <v>1950345</v>
      </c>
      <c r="AZ156" s="47"/>
      <c r="BB156" s="47" t="e">
        <f>VLOOKUP($AA156,#REF!,3,0)*(+AY156+AZ156)</f>
        <v>#REF!</v>
      </c>
      <c r="BC156" s="47" t="e">
        <f>VLOOKUP($AB156,#REF!,3,0)*(+AY156+AZ156)</f>
        <v>#REF!</v>
      </c>
      <c r="BE156" s="47"/>
      <c r="BH156" s="47" t="e">
        <f t="shared" si="75"/>
        <v>#REF!</v>
      </c>
      <c r="BM156" s="47" t="e">
        <f t="shared" si="76"/>
        <v>#REF!</v>
      </c>
      <c r="BN156" s="66"/>
      <c r="BO156" s="47" t="e">
        <f t="shared" si="94"/>
        <v>#REF!</v>
      </c>
      <c r="BP156" s="47"/>
      <c r="BR156" s="47" t="e">
        <f>VLOOKUP($AA156,#REF!,4,0)*(+BO156+BP156)</f>
        <v>#REF!</v>
      </c>
      <c r="BS156" s="47" t="e">
        <f>VLOOKUP($AB156,#REF!,4,0)*(+BO156+BP156)</f>
        <v>#REF!</v>
      </c>
      <c r="BV156" s="47"/>
      <c r="BY156" s="47" t="e">
        <f t="shared" si="89"/>
        <v>#REF!</v>
      </c>
      <c r="CD156" s="47" t="e">
        <f t="shared" si="78"/>
        <v>#REF!</v>
      </c>
      <c r="CE156" s="66"/>
      <c r="CF156" s="47" t="e">
        <f t="shared" si="95"/>
        <v>#REF!</v>
      </c>
      <c r="CG156" s="47"/>
      <c r="CI156" s="47" t="e">
        <f>VLOOKUP($AA156,#REF!,5,0)*(+CF156+CG156)</f>
        <v>#REF!</v>
      </c>
      <c r="CJ156" s="47" t="e">
        <f>VLOOKUP($AB156,#REF!,5,0)*(+CF156+CG156)</f>
        <v>#REF!</v>
      </c>
      <c r="CM156" s="47"/>
      <c r="CO156" s="47" t="e">
        <f t="shared" si="80"/>
        <v>#REF!</v>
      </c>
      <c r="CT156" s="47" t="e">
        <f t="shared" si="81"/>
        <v>#REF!</v>
      </c>
      <c r="CU156" s="66"/>
      <c r="CV156" s="47" t="e">
        <f t="shared" si="96"/>
        <v>#REF!</v>
      </c>
      <c r="CW156" s="47"/>
      <c r="CY156" s="47" t="e">
        <f>VLOOKUP($AA156,#REF!,6,0)*(+CV156+CW156)</f>
        <v>#REF!</v>
      </c>
      <c r="CZ156" s="47" t="e">
        <f>VLOOKUP($AB156,#REF!,6,0)*(+CV156+CW156)</f>
        <v>#REF!</v>
      </c>
      <c r="DC156" s="47"/>
      <c r="DE156" s="47" t="e">
        <f t="shared" si="83"/>
        <v>#REF!</v>
      </c>
      <c r="DJ156" s="47" t="e">
        <f t="shared" si="84"/>
        <v>#REF!</v>
      </c>
      <c r="DK156" s="66"/>
      <c r="DL156" s="47" t="e">
        <f t="shared" si="86"/>
        <v>#REF!</v>
      </c>
      <c r="DM156" s="47"/>
      <c r="DO156" s="47" t="e">
        <f>VLOOKUP($AA156,#REF!,7,0)*(+DL156+DM156)</f>
        <v>#REF!</v>
      </c>
      <c r="DP156" s="47" t="e">
        <f>VLOOKUP($AB156,#REF!,7,0)*(+DL156+DM156)</f>
        <v>#REF!</v>
      </c>
      <c r="DS156" s="47"/>
      <c r="DU156" s="47" t="e">
        <f t="shared" si="87"/>
        <v>#REF!</v>
      </c>
      <c r="DZ156" s="47" t="e">
        <f t="shared" si="88"/>
        <v>#REF!</v>
      </c>
      <c r="EA156" s="66"/>
    </row>
    <row r="157" spans="1:131" x14ac:dyDescent="0.2">
      <c r="A157" s="38" t="s">
        <v>380</v>
      </c>
      <c r="B157" s="49" t="s">
        <v>362</v>
      </c>
      <c r="C157" s="49" t="s">
        <v>363</v>
      </c>
      <c r="D157" s="39"/>
      <c r="E157" s="40"/>
      <c r="F157" s="41"/>
      <c r="G157" s="41"/>
      <c r="H157" s="41"/>
      <c r="I157" s="41"/>
      <c r="J157" s="41"/>
      <c r="K157" s="51"/>
      <c r="L157" s="41"/>
      <c r="M157" s="41"/>
      <c r="N157" s="41"/>
      <c r="O157" s="41"/>
      <c r="P157" s="41"/>
      <c r="Q157" s="41"/>
      <c r="R157" s="41"/>
      <c r="S157" s="41"/>
      <c r="T157" s="42">
        <f t="shared" si="90"/>
        <v>0</v>
      </c>
      <c r="U157" s="43"/>
      <c r="V157" s="139">
        <v>0</v>
      </c>
      <c r="W157" s="143" t="s">
        <v>368</v>
      </c>
      <c r="X157" s="143">
        <v>11</v>
      </c>
      <c r="Y157" s="171" t="s">
        <v>423</v>
      </c>
      <c r="Z157" s="171" t="s">
        <v>342</v>
      </c>
      <c r="AA157" s="44" t="s">
        <v>290</v>
      </c>
      <c r="AB157" s="188" t="s">
        <v>513</v>
      </c>
      <c r="AC157" s="10"/>
      <c r="AD157" s="13"/>
      <c r="AE157" s="10"/>
      <c r="AF157" s="10"/>
      <c r="AG157" s="45"/>
      <c r="AH157" s="45"/>
      <c r="AI157" s="45"/>
      <c r="AJ157" s="41"/>
      <c r="AK157" s="45"/>
      <c r="AL157" s="45">
        <v>-3200945</v>
      </c>
      <c r="AN157" s="128">
        <v>0</v>
      </c>
      <c r="AO157" s="45"/>
      <c r="AP157" s="46">
        <f t="shared" si="91"/>
        <v>-3200945</v>
      </c>
      <c r="AQ157" s="47"/>
      <c r="AT157" s="55">
        <v>-565666</v>
      </c>
      <c r="AU157" s="55"/>
      <c r="AW157" s="48">
        <f t="shared" si="92"/>
        <v>-3766611</v>
      </c>
      <c r="AX157" s="66"/>
      <c r="AY157" s="47">
        <f t="shared" si="93"/>
        <v>-3200945</v>
      </c>
      <c r="AZ157" s="47">
        <v>901000</v>
      </c>
      <c r="BB157" s="47" t="e">
        <f>VLOOKUP($AA157,#REF!,3,0)*(+AY157+AZ157)</f>
        <v>#REF!</v>
      </c>
      <c r="BC157" s="47" t="e">
        <f>VLOOKUP($AB157,#REF!,3,0)*(+AY157+AZ157)</f>
        <v>#REF!</v>
      </c>
      <c r="BE157" s="47"/>
      <c r="BH157" s="47" t="e">
        <f t="shared" si="75"/>
        <v>#REF!</v>
      </c>
      <c r="BM157" s="47" t="e">
        <f t="shared" si="76"/>
        <v>#REF!</v>
      </c>
      <c r="BN157" s="66"/>
      <c r="BO157" s="47" t="e">
        <f t="shared" si="94"/>
        <v>#REF!</v>
      </c>
      <c r="BP157" s="47"/>
      <c r="BR157" s="47" t="e">
        <f>VLOOKUP($AA157,#REF!,4,0)*(+BO157+BP157)</f>
        <v>#REF!</v>
      </c>
      <c r="BS157" s="47" t="e">
        <f>VLOOKUP($AB157,#REF!,4,0)*(+BO157+BP157)</f>
        <v>#REF!</v>
      </c>
      <c r="BV157" s="47"/>
      <c r="BY157" s="47" t="e">
        <f t="shared" si="89"/>
        <v>#REF!</v>
      </c>
      <c r="CD157" s="47" t="e">
        <f t="shared" si="78"/>
        <v>#REF!</v>
      </c>
      <c r="CE157" s="66"/>
      <c r="CF157" s="47" t="e">
        <f t="shared" si="95"/>
        <v>#REF!</v>
      </c>
      <c r="CG157" s="47"/>
      <c r="CI157" s="47" t="e">
        <f>VLOOKUP($AA157,#REF!,5,0)*(+CF157+CG157)</f>
        <v>#REF!</v>
      </c>
      <c r="CJ157" s="47" t="e">
        <f>VLOOKUP($AB157,#REF!,5,0)*(+CF157+CG157)</f>
        <v>#REF!</v>
      </c>
      <c r="CM157" s="47"/>
      <c r="CO157" s="47" t="e">
        <f t="shared" si="80"/>
        <v>#REF!</v>
      </c>
      <c r="CT157" s="47" t="e">
        <f t="shared" si="81"/>
        <v>#REF!</v>
      </c>
      <c r="CU157" s="66"/>
      <c r="CV157" s="47" t="e">
        <f t="shared" si="96"/>
        <v>#REF!</v>
      </c>
      <c r="CW157" s="47"/>
      <c r="CY157" s="47" t="e">
        <f>VLOOKUP($AA157,#REF!,6,0)*(+CV157+CW157)</f>
        <v>#REF!</v>
      </c>
      <c r="CZ157" s="47" t="e">
        <f>VLOOKUP($AB157,#REF!,6,0)*(+CV157+CW157)</f>
        <v>#REF!</v>
      </c>
      <c r="DC157" s="47"/>
      <c r="DE157" s="47" t="e">
        <f t="shared" si="83"/>
        <v>#REF!</v>
      </c>
      <c r="DJ157" s="47" t="e">
        <f t="shared" si="84"/>
        <v>#REF!</v>
      </c>
      <c r="DK157" s="66"/>
      <c r="DL157" s="47" t="e">
        <f t="shared" si="86"/>
        <v>#REF!</v>
      </c>
      <c r="DM157" s="47"/>
      <c r="DO157" s="47" t="e">
        <f>VLOOKUP($AA157,#REF!,7,0)*(+DL157+DM157)</f>
        <v>#REF!</v>
      </c>
      <c r="DP157" s="47" t="e">
        <f>VLOOKUP($AB157,#REF!,7,0)*(+DL157+DM157)</f>
        <v>#REF!</v>
      </c>
      <c r="DS157" s="47"/>
      <c r="DU157" s="47" t="e">
        <f t="shared" si="87"/>
        <v>#REF!</v>
      </c>
      <c r="DZ157" s="47" t="e">
        <f t="shared" si="88"/>
        <v>#REF!</v>
      </c>
      <c r="EA157" s="66"/>
    </row>
    <row r="158" spans="1:131" x14ac:dyDescent="0.2">
      <c r="A158" s="38" t="s">
        <v>380</v>
      </c>
      <c r="B158" s="49" t="s">
        <v>356</v>
      </c>
      <c r="C158" s="52" t="s">
        <v>355</v>
      </c>
      <c r="D158" s="39"/>
      <c r="E158" s="40"/>
      <c r="F158" s="41"/>
      <c r="G158" s="41"/>
      <c r="H158" s="41"/>
      <c r="I158" s="41"/>
      <c r="J158" s="41"/>
      <c r="K158" s="51"/>
      <c r="L158" s="41"/>
      <c r="M158" s="41"/>
      <c r="N158" s="41"/>
      <c r="O158" s="41"/>
      <c r="P158" s="41"/>
      <c r="Q158" s="41"/>
      <c r="R158" s="41"/>
      <c r="S158" s="41"/>
      <c r="T158" s="42">
        <f t="shared" si="90"/>
        <v>0</v>
      </c>
      <c r="U158" s="43"/>
      <c r="V158" s="139">
        <v>0</v>
      </c>
      <c r="W158" s="143" t="s">
        <v>368</v>
      </c>
      <c r="X158" s="143">
        <v>11</v>
      </c>
      <c r="Y158" s="171" t="s">
        <v>423</v>
      </c>
      <c r="Z158" s="171" t="s">
        <v>342</v>
      </c>
      <c r="AA158" s="44" t="s">
        <v>290</v>
      </c>
      <c r="AB158" s="188" t="s">
        <v>513</v>
      </c>
      <c r="AC158" s="10"/>
      <c r="AD158" s="13"/>
      <c r="AE158" s="10"/>
      <c r="AF158" s="10"/>
      <c r="AG158" s="45"/>
      <c r="AH158" s="45"/>
      <c r="AI158" s="45"/>
      <c r="AJ158" s="41"/>
      <c r="AK158" s="45"/>
      <c r="AL158" s="45"/>
      <c r="AM158" s="128">
        <v>-3385036</v>
      </c>
      <c r="AN158" s="245"/>
      <c r="AO158" s="45">
        <v>381000</v>
      </c>
      <c r="AP158" s="46">
        <f t="shared" si="91"/>
        <v>-3004036</v>
      </c>
      <c r="AQ158" s="47"/>
      <c r="AT158" s="55"/>
      <c r="AU158" s="55"/>
      <c r="AW158" s="48">
        <f t="shared" si="92"/>
        <v>-3004036</v>
      </c>
      <c r="AX158" s="66"/>
      <c r="AY158" s="47">
        <f t="shared" si="93"/>
        <v>-3004036</v>
      </c>
      <c r="AZ158" s="244">
        <v>2204000</v>
      </c>
      <c r="BB158" s="47" t="e">
        <f>VLOOKUP($AA158,#REF!,3,0)*(+AY158+AZ158)</f>
        <v>#REF!</v>
      </c>
      <c r="BC158" s="47" t="e">
        <f>VLOOKUP($AB158,#REF!,3,0)*(+AY158+AZ158)</f>
        <v>#REF!</v>
      </c>
      <c r="BE158" s="47"/>
      <c r="BH158" s="47" t="e">
        <f t="shared" si="75"/>
        <v>#REF!</v>
      </c>
      <c r="BM158" s="47" t="e">
        <f t="shared" si="76"/>
        <v>#REF!</v>
      </c>
      <c r="BN158" s="66"/>
      <c r="BO158" s="47" t="e">
        <f t="shared" si="94"/>
        <v>#REF!</v>
      </c>
      <c r="BP158" s="47"/>
      <c r="BR158" s="47" t="e">
        <f>VLOOKUP($AA158,#REF!,4,0)*(+BO158+BP158)</f>
        <v>#REF!</v>
      </c>
      <c r="BS158" s="47" t="e">
        <f>VLOOKUP($AB158,#REF!,4,0)*(+BO158+BP158)</f>
        <v>#REF!</v>
      </c>
      <c r="BV158" s="47"/>
      <c r="BY158" s="47" t="e">
        <f t="shared" si="89"/>
        <v>#REF!</v>
      </c>
      <c r="CD158" s="47" t="e">
        <f t="shared" si="78"/>
        <v>#REF!</v>
      </c>
      <c r="CE158" s="66"/>
      <c r="CF158" s="47" t="e">
        <f t="shared" si="95"/>
        <v>#REF!</v>
      </c>
      <c r="CG158" s="47"/>
      <c r="CI158" s="47" t="e">
        <f>VLOOKUP($AA158,#REF!,5,0)*(+CF158+CG158)</f>
        <v>#REF!</v>
      </c>
      <c r="CJ158" s="47" t="e">
        <f>VLOOKUP($AB158,#REF!,5,0)*(+CF158+CG158)</f>
        <v>#REF!</v>
      </c>
      <c r="CM158" s="47"/>
      <c r="CO158" s="47" t="e">
        <f t="shared" si="80"/>
        <v>#REF!</v>
      </c>
      <c r="CT158" s="47" t="e">
        <f t="shared" si="81"/>
        <v>#REF!</v>
      </c>
      <c r="CU158" s="66"/>
      <c r="CV158" s="47" t="e">
        <f t="shared" si="96"/>
        <v>#REF!</v>
      </c>
      <c r="CW158" s="47"/>
      <c r="CY158" s="47" t="e">
        <f>VLOOKUP($AA158,#REF!,6,0)*(+CV158+CW158)</f>
        <v>#REF!</v>
      </c>
      <c r="CZ158" s="47" t="e">
        <f>VLOOKUP($AB158,#REF!,6,0)*(+CV158+CW158)</f>
        <v>#REF!</v>
      </c>
      <c r="DC158" s="47"/>
      <c r="DE158" s="47" t="e">
        <f t="shared" si="83"/>
        <v>#REF!</v>
      </c>
      <c r="DJ158" s="47" t="e">
        <f t="shared" si="84"/>
        <v>#REF!</v>
      </c>
      <c r="DK158" s="66"/>
      <c r="DL158" s="47" t="e">
        <f t="shared" si="86"/>
        <v>#REF!</v>
      </c>
      <c r="DM158" s="47"/>
      <c r="DO158" s="47" t="e">
        <f>VLOOKUP($AA158,#REF!,7,0)*(+DL158+DM158)</f>
        <v>#REF!</v>
      </c>
      <c r="DP158" s="47" t="e">
        <f>VLOOKUP($AB158,#REF!,7,0)*(+DL158+DM158)</f>
        <v>#REF!</v>
      </c>
      <c r="DS158" s="47"/>
      <c r="DU158" s="47" t="e">
        <f t="shared" si="87"/>
        <v>#REF!</v>
      </c>
      <c r="DZ158" s="47" t="e">
        <f t="shared" si="88"/>
        <v>#REF!</v>
      </c>
      <c r="EA158" s="66"/>
    </row>
    <row r="159" spans="1:131" x14ac:dyDescent="0.2">
      <c r="A159" s="38" t="s">
        <v>380</v>
      </c>
      <c r="B159" s="39" t="s">
        <v>252</v>
      </c>
      <c r="C159" s="52" t="s">
        <v>253</v>
      </c>
      <c r="D159" s="39"/>
      <c r="E159" s="40">
        <v>3312178</v>
      </c>
      <c r="F159" s="41">
        <f>-3312178</f>
        <v>-3312178</v>
      </c>
      <c r="G159" s="41"/>
      <c r="H159" s="41"/>
      <c r="I159" s="41"/>
      <c r="J159" s="41"/>
      <c r="K159" s="51"/>
      <c r="L159" s="41"/>
      <c r="M159" s="41"/>
      <c r="N159" s="41"/>
      <c r="O159" s="41"/>
      <c r="P159" s="41"/>
      <c r="Q159" s="41"/>
      <c r="R159" s="41"/>
      <c r="S159" s="41"/>
      <c r="T159" s="42">
        <f t="shared" si="90"/>
        <v>0</v>
      </c>
      <c r="U159" s="43"/>
      <c r="V159" s="139">
        <v>0</v>
      </c>
      <c r="W159" s="143" t="s">
        <v>368</v>
      </c>
      <c r="X159" s="143">
        <v>11</v>
      </c>
      <c r="Y159" s="171" t="s">
        <v>423</v>
      </c>
      <c r="Z159" s="171" t="s">
        <v>342</v>
      </c>
      <c r="AA159" s="44" t="s">
        <v>290</v>
      </c>
      <c r="AB159" s="188" t="s">
        <v>513</v>
      </c>
      <c r="AC159" s="10"/>
      <c r="AD159" s="13">
        <v>0</v>
      </c>
      <c r="AE159" s="10"/>
      <c r="AF159" s="10"/>
      <c r="AG159" s="45"/>
      <c r="AH159" s="45"/>
      <c r="AI159" s="45"/>
      <c r="AJ159" s="41"/>
      <c r="AK159" s="45"/>
      <c r="AL159" s="45"/>
      <c r="AN159" s="128">
        <v>0</v>
      </c>
      <c r="AO159" s="45"/>
      <c r="AP159" s="46">
        <f t="shared" si="91"/>
        <v>0</v>
      </c>
      <c r="AQ159" s="47"/>
      <c r="AW159" s="48">
        <f t="shared" si="92"/>
        <v>0</v>
      </c>
      <c r="AX159" s="66"/>
      <c r="AY159" s="47">
        <f t="shared" si="93"/>
        <v>0</v>
      </c>
      <c r="AZ159" s="47"/>
      <c r="BB159" s="47" t="e">
        <f>VLOOKUP($AA159,#REF!,3,0)*(+AY159+AZ159)</f>
        <v>#REF!</v>
      </c>
      <c r="BC159" s="47" t="e">
        <f>VLOOKUP($AB159,#REF!,3,0)*(+AY159+AZ159)</f>
        <v>#REF!</v>
      </c>
      <c r="BE159" s="47"/>
      <c r="BH159" s="47" t="e">
        <f t="shared" si="75"/>
        <v>#REF!</v>
      </c>
      <c r="BM159" s="47" t="e">
        <f t="shared" si="76"/>
        <v>#REF!</v>
      </c>
      <c r="BN159" s="66"/>
      <c r="BO159" s="47" t="e">
        <f t="shared" si="94"/>
        <v>#REF!</v>
      </c>
      <c r="BP159" s="47"/>
      <c r="BR159" s="47" t="e">
        <f>VLOOKUP($AA159,#REF!,4,0)*(+BO159+BP159)</f>
        <v>#REF!</v>
      </c>
      <c r="BS159" s="47" t="e">
        <f>VLOOKUP($AB159,#REF!,4,0)*(+BO159+BP159)</f>
        <v>#REF!</v>
      </c>
      <c r="BV159" s="47"/>
      <c r="BY159" s="47" t="e">
        <f t="shared" si="89"/>
        <v>#REF!</v>
      </c>
      <c r="CD159" s="47" t="e">
        <f t="shared" si="78"/>
        <v>#REF!</v>
      </c>
      <c r="CE159" s="66"/>
      <c r="CF159" s="47" t="e">
        <f t="shared" si="95"/>
        <v>#REF!</v>
      </c>
      <c r="CG159" s="47"/>
      <c r="CI159" s="47" t="e">
        <f>VLOOKUP($AA159,#REF!,5,0)*(+CF159+CG159)</f>
        <v>#REF!</v>
      </c>
      <c r="CJ159" s="47" t="e">
        <f>VLOOKUP($AB159,#REF!,5,0)*(+CF159+CG159)</f>
        <v>#REF!</v>
      </c>
      <c r="CM159" s="47"/>
      <c r="CO159" s="47" t="e">
        <f t="shared" si="80"/>
        <v>#REF!</v>
      </c>
      <c r="CT159" s="47" t="e">
        <f t="shared" si="81"/>
        <v>#REF!</v>
      </c>
      <c r="CU159" s="66"/>
      <c r="CV159" s="47" t="e">
        <f t="shared" si="96"/>
        <v>#REF!</v>
      </c>
      <c r="CW159" s="47"/>
      <c r="CY159" s="47" t="e">
        <f>VLOOKUP($AA159,#REF!,6,0)*(+CV159+CW159)</f>
        <v>#REF!</v>
      </c>
      <c r="CZ159" s="47" t="e">
        <f>VLOOKUP($AB159,#REF!,6,0)*(+CV159+CW159)</f>
        <v>#REF!</v>
      </c>
      <c r="DC159" s="47"/>
      <c r="DE159" s="47" t="e">
        <f t="shared" si="83"/>
        <v>#REF!</v>
      </c>
      <c r="DJ159" s="47" t="e">
        <f t="shared" si="84"/>
        <v>#REF!</v>
      </c>
      <c r="DK159" s="66"/>
      <c r="DL159" s="47" t="e">
        <f t="shared" si="86"/>
        <v>#REF!</v>
      </c>
      <c r="DM159" s="47"/>
      <c r="DO159" s="47" t="e">
        <f>VLOOKUP($AA159,#REF!,7,0)*(+DL159+DM159)</f>
        <v>#REF!</v>
      </c>
      <c r="DP159" s="47" t="e">
        <f>VLOOKUP($AB159,#REF!,7,0)*(+DL159+DM159)</f>
        <v>#REF!</v>
      </c>
      <c r="DS159" s="47"/>
      <c r="DU159" s="47" t="e">
        <f t="shared" si="87"/>
        <v>#REF!</v>
      </c>
      <c r="DZ159" s="47" t="e">
        <f t="shared" si="88"/>
        <v>#REF!</v>
      </c>
      <c r="EA159" s="66"/>
    </row>
    <row r="160" spans="1:131" x14ac:dyDescent="0.2">
      <c r="B160" s="39"/>
      <c r="C160" s="52" t="s">
        <v>515</v>
      </c>
      <c r="D160" s="54"/>
      <c r="E160" s="60"/>
      <c r="F160" s="41"/>
      <c r="G160" s="41"/>
      <c r="H160" s="41"/>
      <c r="I160" s="41"/>
      <c r="J160" s="41"/>
      <c r="K160" s="51"/>
      <c r="L160" s="41"/>
      <c r="M160" s="41"/>
      <c r="N160" s="41"/>
      <c r="O160" s="41"/>
      <c r="P160" s="41"/>
      <c r="Q160" s="41"/>
      <c r="R160" s="41"/>
      <c r="S160" s="41"/>
      <c r="T160" s="42"/>
      <c r="U160" s="43"/>
      <c r="V160" s="139"/>
      <c r="W160" s="143"/>
      <c r="X160" s="143"/>
      <c r="Y160" s="171"/>
      <c r="Z160" s="171" t="s">
        <v>342</v>
      </c>
      <c r="AA160" s="44" t="s">
        <v>290</v>
      </c>
      <c r="AB160" s="188" t="s">
        <v>513</v>
      </c>
      <c r="AC160" s="10"/>
      <c r="AD160" s="13"/>
      <c r="AE160" s="10"/>
      <c r="AF160" s="10"/>
      <c r="AG160" s="45"/>
      <c r="AH160" s="45"/>
      <c r="AI160" s="45"/>
      <c r="AJ160" s="41"/>
      <c r="AK160" s="45"/>
      <c r="AL160" s="45"/>
      <c r="AN160" s="128"/>
      <c r="AO160" s="45"/>
      <c r="AP160" s="46"/>
      <c r="AQ160" s="47"/>
      <c r="AW160" s="48">
        <v>0</v>
      </c>
      <c r="AX160" s="66"/>
      <c r="AY160" s="47">
        <v>0</v>
      </c>
      <c r="AZ160" s="47"/>
      <c r="BB160" s="47">
        <v>0</v>
      </c>
      <c r="BC160" s="47">
        <v>0</v>
      </c>
      <c r="BE160" s="47"/>
      <c r="BH160" s="47">
        <f t="shared" ref="BH160:BH161" si="99">SUM(AY160:BG160)</f>
        <v>0</v>
      </c>
      <c r="BI160" s="47">
        <f>BH188*0.01</f>
        <v>3355048.0451800004</v>
      </c>
      <c r="BM160" s="47">
        <f t="shared" ref="BM160:BM161" si="100">SUM(BH160:BL160)</f>
        <v>3355048.0451800004</v>
      </c>
      <c r="BN160" s="66"/>
      <c r="BO160" s="47">
        <f t="shared" si="94"/>
        <v>0</v>
      </c>
      <c r="BP160" s="47"/>
      <c r="BR160" s="47" t="e">
        <f>VLOOKUP($AA160,#REF!,4,0)*(+BO160+BP160)</f>
        <v>#REF!</v>
      </c>
      <c r="BS160" s="47" t="e">
        <f>VLOOKUP($AB160,#REF!,4,0)*(+BO160+BP160)</f>
        <v>#REF!</v>
      </c>
      <c r="BT160" s="47"/>
      <c r="BV160" s="47"/>
      <c r="BY160" s="47" t="e">
        <f t="shared" si="89"/>
        <v>#REF!</v>
      </c>
      <c r="CD160" s="47" t="e">
        <f t="shared" si="78"/>
        <v>#REF!</v>
      </c>
      <c r="CE160" s="66"/>
      <c r="CF160" s="47" t="e">
        <f t="shared" ref="CF160" si="101">+BY160-BQ160</f>
        <v>#REF!</v>
      </c>
      <c r="CG160" s="47"/>
      <c r="CI160" s="47" t="e">
        <f>VLOOKUP($AA160,#REF!,5,0)*(+CF160+CG160)</f>
        <v>#REF!</v>
      </c>
      <c r="CJ160" s="47" t="e">
        <f>VLOOKUP($AB160,#REF!,5,0)*(+CF160+CG160)</f>
        <v>#REF!</v>
      </c>
      <c r="CM160" s="47"/>
      <c r="CO160" s="47" t="e">
        <f t="shared" si="80"/>
        <v>#REF!</v>
      </c>
      <c r="CT160" s="47" t="e">
        <f t="shared" si="81"/>
        <v>#REF!</v>
      </c>
      <c r="CU160" s="66"/>
      <c r="CV160" s="47" t="e">
        <f t="shared" si="96"/>
        <v>#REF!</v>
      </c>
      <c r="CW160" s="47"/>
      <c r="CY160" s="47" t="e">
        <f>VLOOKUP($AA160,#REF!,6,0)*(+CV160+CW160)</f>
        <v>#REF!</v>
      </c>
      <c r="CZ160" s="47" t="e">
        <f>VLOOKUP($AB160,#REF!,6,0)*(+CV160+CW160)</f>
        <v>#REF!</v>
      </c>
      <c r="DC160" s="47"/>
      <c r="DE160" s="47" t="e">
        <f t="shared" si="83"/>
        <v>#REF!</v>
      </c>
      <c r="DJ160" s="47" t="e">
        <f t="shared" si="84"/>
        <v>#REF!</v>
      </c>
      <c r="DK160" s="66"/>
      <c r="DL160" s="47" t="e">
        <f t="shared" si="86"/>
        <v>#REF!</v>
      </c>
      <c r="DM160" s="47"/>
      <c r="DO160" s="47" t="e">
        <f>VLOOKUP($AA160,#REF!,7,0)*(+DL160+DM160)</f>
        <v>#REF!</v>
      </c>
      <c r="DP160" s="47" t="e">
        <f>VLOOKUP($AB160,#REF!,7,0)*(+DL160+DM160)</f>
        <v>#REF!</v>
      </c>
      <c r="DS160" s="47"/>
      <c r="DU160" s="47" t="e">
        <f t="shared" si="87"/>
        <v>#REF!</v>
      </c>
      <c r="DZ160" s="47" t="e">
        <f t="shared" si="88"/>
        <v>#REF!</v>
      </c>
      <c r="EA160" s="66"/>
    </row>
    <row r="161" spans="1:131" x14ac:dyDescent="0.2">
      <c r="B161" s="39"/>
      <c r="C161" s="52" t="s">
        <v>535</v>
      </c>
      <c r="D161" s="54"/>
      <c r="E161" s="60"/>
      <c r="F161" s="41"/>
      <c r="G161" s="41"/>
      <c r="H161" s="41"/>
      <c r="I161" s="41"/>
      <c r="J161" s="41"/>
      <c r="K161" s="51"/>
      <c r="L161" s="41"/>
      <c r="M161" s="41"/>
      <c r="N161" s="41"/>
      <c r="O161" s="41"/>
      <c r="P161" s="41"/>
      <c r="Q161" s="41"/>
      <c r="R161" s="41"/>
      <c r="S161" s="41"/>
      <c r="T161" s="42"/>
      <c r="U161" s="43"/>
      <c r="V161" s="139"/>
      <c r="W161" s="143"/>
      <c r="X161" s="143"/>
      <c r="Y161" s="171"/>
      <c r="Z161" s="171" t="s">
        <v>342</v>
      </c>
      <c r="AA161" s="44" t="s">
        <v>290</v>
      </c>
      <c r="AB161" s="188" t="s">
        <v>513</v>
      </c>
      <c r="AC161" s="10"/>
      <c r="AD161" s="13"/>
      <c r="AE161" s="10"/>
      <c r="AF161" s="10"/>
      <c r="AG161" s="45"/>
      <c r="AH161" s="45"/>
      <c r="AI161" s="45"/>
      <c r="AJ161" s="41"/>
      <c r="AK161" s="45"/>
      <c r="AL161" s="45"/>
      <c r="AN161" s="128"/>
      <c r="AO161" s="45"/>
      <c r="AP161" s="46"/>
      <c r="AQ161" s="47"/>
      <c r="AW161" s="48"/>
      <c r="AX161" s="66"/>
      <c r="AY161" s="47">
        <f t="shared" si="93"/>
        <v>0</v>
      </c>
      <c r="AZ161" s="47"/>
      <c r="BB161" s="47" t="e">
        <f>VLOOKUP($AA161,#REF!,3,0)*(+AY161+AZ161)</f>
        <v>#REF!</v>
      </c>
      <c r="BC161" s="47" t="e">
        <f>VLOOKUP($AB161,#REF!,3,0)*(+AY161+AZ161)</f>
        <v>#REF!</v>
      </c>
      <c r="BD161" s="47">
        <v>1070000</v>
      </c>
      <c r="BE161" s="47"/>
      <c r="BH161" s="47" t="e">
        <f t="shared" si="99"/>
        <v>#REF!</v>
      </c>
      <c r="BM161" s="47" t="e">
        <f t="shared" si="100"/>
        <v>#REF!</v>
      </c>
      <c r="BN161" s="66"/>
      <c r="BO161" s="47" t="e">
        <f t="shared" ref="BO161:BO162" si="102">+BH161-BA161</f>
        <v>#REF!</v>
      </c>
      <c r="BP161" s="47"/>
      <c r="BR161" s="47" t="e">
        <f>VLOOKUP($AA161,#REF!,4,0)*(+BO161+BP161)</f>
        <v>#REF!</v>
      </c>
      <c r="BS161" s="47" t="e">
        <f>VLOOKUP($AB161,#REF!,4,0)*(+BO161+BP161)</f>
        <v>#REF!</v>
      </c>
      <c r="BT161" s="47"/>
      <c r="BV161" s="47"/>
      <c r="BX161" s="47">
        <v>-800000</v>
      </c>
      <c r="BY161" s="47" t="e">
        <f t="shared" ref="BY161:BY162" si="103">SUM(BO161:BX161)</f>
        <v>#REF!</v>
      </c>
      <c r="CD161" s="47" t="e">
        <f t="shared" ref="CD161:CD162" si="104">SUM(BY161:CC161)</f>
        <v>#REF!</v>
      </c>
      <c r="CE161" s="66"/>
      <c r="CF161" s="47" t="e">
        <f t="shared" si="95"/>
        <v>#REF!</v>
      </c>
      <c r="CG161" s="47"/>
      <c r="CI161" s="47" t="e">
        <f>VLOOKUP($AA161,#REF!,5,0)*(+CF161+CG161)</f>
        <v>#REF!</v>
      </c>
      <c r="CJ161" s="47" t="e">
        <f>VLOOKUP($AB161,#REF!,5,0)*(+CF161+CG161)</f>
        <v>#REF!</v>
      </c>
      <c r="CM161" s="47"/>
      <c r="CO161" s="47" t="e">
        <f t="shared" ref="CO161:CO162" si="105">SUM(CF161:CN161)</f>
        <v>#REF!</v>
      </c>
      <c r="CT161" s="47" t="e">
        <f t="shared" ref="CT161:CT162" si="106">SUM(CO161:CS161)</f>
        <v>#REF!</v>
      </c>
      <c r="CU161" s="66"/>
      <c r="CV161" s="47" t="e">
        <f t="shared" ref="CV161:CV162" si="107">+CO161-CH161</f>
        <v>#REF!</v>
      </c>
      <c r="CW161" s="47"/>
      <c r="CY161" s="47" t="e">
        <f>VLOOKUP($AA161,#REF!,6,0)*(+CV161+CW161)</f>
        <v>#REF!</v>
      </c>
      <c r="CZ161" s="47" t="e">
        <f>VLOOKUP($AB161,#REF!,6,0)*(+CV161+CW161)</f>
        <v>#REF!</v>
      </c>
      <c r="DC161" s="47"/>
      <c r="DE161" s="47" t="e">
        <f t="shared" ref="DE161:DE162" si="108">SUM(CV161:DD161)</f>
        <v>#REF!</v>
      </c>
      <c r="DJ161" s="47" t="e">
        <f t="shared" ref="DJ161:DJ162" si="109">SUM(DE161:DI161)</f>
        <v>#REF!</v>
      </c>
      <c r="DK161" s="66"/>
      <c r="DL161" s="47" t="e">
        <f t="shared" ref="DL161:DL162" si="110">+DE161-CX161</f>
        <v>#REF!</v>
      </c>
      <c r="DM161" s="47"/>
      <c r="DO161" s="47" t="e">
        <f>VLOOKUP($AA161,#REF!,7,0)*(+DL161+DM161)</f>
        <v>#REF!</v>
      </c>
      <c r="DP161" s="47" t="e">
        <f>VLOOKUP($AB161,#REF!,7,0)*(+DL161+DM161)</f>
        <v>#REF!</v>
      </c>
      <c r="DS161" s="47"/>
      <c r="DU161" s="47" t="e">
        <f t="shared" ref="DU161:DU162" si="111">SUM(DL161:DT161)</f>
        <v>#REF!</v>
      </c>
      <c r="DZ161" s="47" t="e">
        <f t="shared" ref="DZ161:DZ162" si="112">SUM(DU161:DY161)</f>
        <v>#REF!</v>
      </c>
      <c r="EA161" s="66"/>
    </row>
    <row r="162" spans="1:131" x14ac:dyDescent="0.2">
      <c r="B162" s="250"/>
      <c r="C162" s="253" t="s">
        <v>534</v>
      </c>
      <c r="D162" s="54"/>
      <c r="E162" s="254"/>
      <c r="F162" s="41"/>
      <c r="G162" s="41"/>
      <c r="H162" s="41"/>
      <c r="I162" s="41"/>
      <c r="J162" s="41"/>
      <c r="K162" s="51"/>
      <c r="L162" s="41"/>
      <c r="M162" s="41"/>
      <c r="N162" s="41"/>
      <c r="O162" s="41"/>
      <c r="P162" s="41"/>
      <c r="Q162" s="41"/>
      <c r="R162" s="41"/>
      <c r="S162" s="41"/>
      <c r="T162" s="42"/>
      <c r="U162" s="43"/>
      <c r="V162" s="139"/>
      <c r="W162" s="143"/>
      <c r="X162" s="143"/>
      <c r="Y162" s="171"/>
      <c r="Z162" s="171" t="s">
        <v>342</v>
      </c>
      <c r="AA162" s="44" t="s">
        <v>290</v>
      </c>
      <c r="AB162" s="188" t="s">
        <v>513</v>
      </c>
      <c r="AC162" s="10"/>
      <c r="AD162" s="13"/>
      <c r="AE162" s="10"/>
      <c r="AF162" s="10"/>
      <c r="AG162" s="45"/>
      <c r="AH162" s="45"/>
      <c r="AI162" s="45"/>
      <c r="AJ162" s="41"/>
      <c r="AK162" s="45"/>
      <c r="AL162" s="45"/>
      <c r="AN162" s="128"/>
      <c r="AO162" s="45"/>
      <c r="AP162" s="46"/>
      <c r="AQ162" s="47"/>
      <c r="AW162" s="48"/>
      <c r="AX162" s="66"/>
      <c r="AY162" s="47">
        <v>0</v>
      </c>
      <c r="AZ162" s="47"/>
      <c r="BB162" s="47">
        <v>0</v>
      </c>
      <c r="BC162" s="47">
        <v>0</v>
      </c>
      <c r="BD162" s="47">
        <v>200000</v>
      </c>
      <c r="BE162" s="47"/>
      <c r="BH162" s="47">
        <f t="shared" ref="BH162" si="113">SUM(AY162:BG162)</f>
        <v>200000</v>
      </c>
      <c r="BM162" s="47">
        <f t="shared" ref="BM162" si="114">SUM(BH162:BL162)</f>
        <v>200000</v>
      </c>
      <c r="BN162" s="66"/>
      <c r="BO162" s="47">
        <f t="shared" si="102"/>
        <v>200000</v>
      </c>
      <c r="BP162" s="47"/>
      <c r="BR162" s="47" t="e">
        <f>VLOOKUP($AA162,#REF!,4,0)*(+BO162+BP162)</f>
        <v>#REF!</v>
      </c>
      <c r="BS162" s="47" t="e">
        <f>VLOOKUP($AB162,#REF!,4,0)*(+BO162+BP162)</f>
        <v>#REF!</v>
      </c>
      <c r="BT162" s="47"/>
      <c r="BV162" s="47"/>
      <c r="BY162" s="47" t="e">
        <f t="shared" si="103"/>
        <v>#REF!</v>
      </c>
      <c r="CD162" s="47" t="e">
        <f t="shared" si="104"/>
        <v>#REF!</v>
      </c>
      <c r="CE162" s="66"/>
      <c r="CF162" s="47" t="e">
        <f t="shared" si="95"/>
        <v>#REF!</v>
      </c>
      <c r="CG162" s="47"/>
      <c r="CI162" s="47" t="e">
        <f>VLOOKUP($AA162,#REF!,5,0)*(+CF162+CG162)</f>
        <v>#REF!</v>
      </c>
      <c r="CJ162" s="47" t="e">
        <f>VLOOKUP($AB162,#REF!,5,0)*(+CF162+CG162)</f>
        <v>#REF!</v>
      </c>
      <c r="CM162" s="47"/>
      <c r="CO162" s="47" t="e">
        <f t="shared" si="105"/>
        <v>#REF!</v>
      </c>
      <c r="CT162" s="47" t="e">
        <f t="shared" si="106"/>
        <v>#REF!</v>
      </c>
      <c r="CU162" s="66"/>
      <c r="CV162" s="47" t="e">
        <f t="shared" si="107"/>
        <v>#REF!</v>
      </c>
      <c r="CW162" s="47"/>
      <c r="CY162" s="47" t="e">
        <f>VLOOKUP($AA162,#REF!,6,0)*(+CV162+CW162)</f>
        <v>#REF!</v>
      </c>
      <c r="CZ162" s="47" t="e">
        <f>VLOOKUP($AB162,#REF!,6,0)*(+CV162+CW162)</f>
        <v>#REF!</v>
      </c>
      <c r="DC162" s="47"/>
      <c r="DE162" s="47" t="e">
        <f t="shared" si="108"/>
        <v>#REF!</v>
      </c>
      <c r="DJ162" s="47" t="e">
        <f t="shared" si="109"/>
        <v>#REF!</v>
      </c>
      <c r="DK162" s="66"/>
      <c r="DL162" s="47" t="e">
        <f t="shared" si="110"/>
        <v>#REF!</v>
      </c>
      <c r="DM162" s="47"/>
      <c r="DO162" s="47" t="e">
        <f>VLOOKUP($AA162,#REF!,7,0)*(+DL162+DM162)</f>
        <v>#REF!</v>
      </c>
      <c r="DP162" s="47" t="e">
        <f>VLOOKUP($AB162,#REF!,7,0)*(+DL162+DM162)</f>
        <v>#REF!</v>
      </c>
      <c r="DS162" s="47"/>
      <c r="DU162" s="47" t="e">
        <f t="shared" si="111"/>
        <v>#REF!</v>
      </c>
      <c r="DZ162" s="47" t="e">
        <f t="shared" si="112"/>
        <v>#REF!</v>
      </c>
      <c r="EA162" s="66"/>
    </row>
    <row r="163" spans="1:131" x14ac:dyDescent="0.2">
      <c r="A163" s="38" t="s">
        <v>380</v>
      </c>
      <c r="B163" s="39" t="s">
        <v>254</v>
      </c>
      <c r="C163" s="52" t="s">
        <v>255</v>
      </c>
      <c r="D163" s="54"/>
      <c r="E163" s="60">
        <v>4418000</v>
      </c>
      <c r="F163" s="41">
        <v>-3400000</v>
      </c>
      <c r="G163" s="41"/>
      <c r="H163" s="41"/>
      <c r="I163" s="41"/>
      <c r="J163" s="41"/>
      <c r="K163" s="51"/>
      <c r="L163" s="41"/>
      <c r="M163" s="41"/>
      <c r="N163" s="41"/>
      <c r="O163" s="41"/>
      <c r="P163" s="41"/>
      <c r="Q163" s="41">
        <v>-1018000</v>
      </c>
      <c r="R163" s="41"/>
      <c r="S163" s="41"/>
      <c r="T163" s="42">
        <f t="shared" si="90"/>
        <v>0</v>
      </c>
      <c r="U163" s="43"/>
      <c r="V163" s="139">
        <v>0</v>
      </c>
      <c r="W163" s="143" t="s">
        <v>368</v>
      </c>
      <c r="X163" s="143">
        <v>11</v>
      </c>
      <c r="Y163" s="171" t="s">
        <v>423</v>
      </c>
      <c r="Z163" s="171" t="s">
        <v>342</v>
      </c>
      <c r="AA163" s="44" t="s">
        <v>290</v>
      </c>
      <c r="AB163" s="188" t="s">
        <v>513</v>
      </c>
      <c r="AC163" s="10"/>
      <c r="AD163" s="13">
        <v>0</v>
      </c>
      <c r="AE163" s="10"/>
      <c r="AF163" s="10"/>
      <c r="AG163" s="45"/>
      <c r="AH163" s="45"/>
      <c r="AI163" s="45"/>
      <c r="AJ163" s="41">
        <f>2982000+500000+1018000</f>
        <v>4500000</v>
      </c>
      <c r="AK163" s="45"/>
      <c r="AL163" s="45"/>
      <c r="AN163" s="128">
        <v>0</v>
      </c>
      <c r="AO163" s="45">
        <v>-1192740</v>
      </c>
      <c r="AP163" s="46">
        <f t="shared" si="91"/>
        <v>3307260</v>
      </c>
      <c r="AQ163" s="47"/>
      <c r="AU163" s="38">
        <v>1500000</v>
      </c>
      <c r="AW163" s="48">
        <f t="shared" si="92"/>
        <v>4807260</v>
      </c>
      <c r="AX163" s="66"/>
      <c r="AY163" s="47">
        <f t="shared" si="93"/>
        <v>3307260</v>
      </c>
      <c r="AZ163" s="244">
        <v>363000</v>
      </c>
      <c r="BB163" s="47" t="e">
        <f>VLOOKUP($AA163,#REF!,3,0)*(+AY163+AZ163)</f>
        <v>#REF!</v>
      </c>
      <c r="BC163" s="47" t="e">
        <f>VLOOKUP($AB163,#REF!,3,0)*(+AY163+AZ163)</f>
        <v>#REF!</v>
      </c>
      <c r="BD163" s="47" t="e">
        <f>BH188*#REF!</f>
        <v>#REF!</v>
      </c>
      <c r="BE163" s="47"/>
      <c r="BH163" s="47" t="e">
        <f>SUM(AY163:BG163)</f>
        <v>#REF!</v>
      </c>
      <c r="BM163" s="47" t="e">
        <f t="shared" si="76"/>
        <v>#REF!</v>
      </c>
      <c r="BN163" s="66"/>
      <c r="BO163" s="47" t="e">
        <f t="shared" si="94"/>
        <v>#REF!</v>
      </c>
      <c r="BP163" s="47"/>
      <c r="BR163" s="47" t="e">
        <f>VLOOKUP($AA163,#REF!,4,0)*(+BO163+BP163)</f>
        <v>#REF!</v>
      </c>
      <c r="BS163" s="47" t="e">
        <f>VLOOKUP($AB163,#REF!,4,0)*(+BO163+BP163)</f>
        <v>#REF!</v>
      </c>
      <c r="BT163" s="47" t="e">
        <f>BY188*#REF!</f>
        <v>#REF!</v>
      </c>
      <c r="BU163" s="47"/>
      <c r="BV163" s="47"/>
      <c r="BW163" s="47"/>
      <c r="BX163" s="47"/>
      <c r="BY163" s="47" t="e">
        <f t="shared" si="89"/>
        <v>#REF!</v>
      </c>
      <c r="CD163" s="47" t="e">
        <f t="shared" si="78"/>
        <v>#REF!</v>
      </c>
      <c r="CE163" s="66"/>
      <c r="CF163" s="47" t="e">
        <f t="shared" si="95"/>
        <v>#REF!</v>
      </c>
      <c r="CG163" s="47"/>
      <c r="CI163" s="47" t="e">
        <f>VLOOKUP($AA163,#REF!,5,0)*(+CF163+CG163)</f>
        <v>#REF!</v>
      </c>
      <c r="CJ163" s="47" t="e">
        <f>VLOOKUP($AB163,#REF!,5,0)*(+CF163+CG163)</f>
        <v>#REF!</v>
      </c>
      <c r="CK163" s="47" t="e">
        <f>CO188*#REF!</f>
        <v>#REF!</v>
      </c>
      <c r="CL163" s="47"/>
      <c r="CM163" s="47"/>
      <c r="CO163" s="47" t="e">
        <f t="shared" si="80"/>
        <v>#REF!</v>
      </c>
      <c r="CT163" s="47" t="e">
        <f t="shared" si="81"/>
        <v>#REF!</v>
      </c>
      <c r="CU163" s="66"/>
      <c r="CV163" s="47" t="e">
        <f t="shared" si="96"/>
        <v>#REF!</v>
      </c>
      <c r="CW163" s="47"/>
      <c r="CY163" s="47" t="e">
        <f>VLOOKUP($AA163,#REF!,6,0)*(+CV163+CW163)</f>
        <v>#REF!</v>
      </c>
      <c r="CZ163" s="47" t="e">
        <f>VLOOKUP($AB163,#REF!,6,0)*(+CV163+CW163)</f>
        <v>#REF!</v>
      </c>
      <c r="DA163" s="47" t="e">
        <f>DE188*#REF!</f>
        <v>#REF!</v>
      </c>
      <c r="DB163" s="47"/>
      <c r="DC163" s="47"/>
      <c r="DE163" s="47" t="e">
        <f t="shared" si="83"/>
        <v>#REF!</v>
      </c>
      <c r="DJ163" s="47" t="e">
        <f t="shared" si="84"/>
        <v>#REF!</v>
      </c>
      <c r="DK163" s="66"/>
      <c r="DL163" s="47" t="e">
        <f t="shared" si="86"/>
        <v>#REF!</v>
      </c>
      <c r="DM163" s="47"/>
      <c r="DO163" s="47" t="e">
        <f>VLOOKUP($AA163,#REF!,7,0)*(+DL163+DM163)</f>
        <v>#REF!</v>
      </c>
      <c r="DP163" s="47" t="e">
        <f>VLOOKUP($AB163,#REF!,7,0)*(+DL163+DM163)</f>
        <v>#REF!</v>
      </c>
      <c r="DQ163" s="47" t="e">
        <f>DU188*#REF!</f>
        <v>#REF!</v>
      </c>
      <c r="DR163" s="47"/>
      <c r="DS163" s="47"/>
      <c r="DU163" s="47" t="e">
        <f t="shared" si="87"/>
        <v>#REF!</v>
      </c>
      <c r="DZ163" s="47" t="e">
        <f t="shared" si="88"/>
        <v>#REF!</v>
      </c>
      <c r="EA163" s="66"/>
    </row>
    <row r="164" spans="1:131" x14ac:dyDescent="0.2">
      <c r="A164" s="38" t="s">
        <v>380</v>
      </c>
      <c r="B164" s="39" t="s">
        <v>349</v>
      </c>
      <c r="C164" s="49" t="s">
        <v>350</v>
      </c>
      <c r="D164" s="39"/>
      <c r="E164" s="40"/>
      <c r="F164" s="41"/>
      <c r="G164" s="41"/>
      <c r="H164" s="41"/>
      <c r="I164" s="41"/>
      <c r="J164" s="41"/>
      <c r="K164" s="51"/>
      <c r="L164" s="41"/>
      <c r="M164" s="41"/>
      <c r="N164" s="41"/>
      <c r="O164" s="41"/>
      <c r="P164" s="41"/>
      <c r="Q164" s="41"/>
      <c r="R164" s="41"/>
      <c r="S164" s="41"/>
      <c r="T164" s="42">
        <f t="shared" si="90"/>
        <v>0</v>
      </c>
      <c r="U164" s="43"/>
      <c r="V164" s="139">
        <v>0</v>
      </c>
      <c r="W164" s="143" t="s">
        <v>368</v>
      </c>
      <c r="X164" s="143">
        <v>11</v>
      </c>
      <c r="Y164" s="171" t="s">
        <v>423</v>
      </c>
      <c r="Z164" s="171" t="s">
        <v>342</v>
      </c>
      <c r="AA164" s="44" t="s">
        <v>290</v>
      </c>
      <c r="AB164" s="188" t="s">
        <v>513</v>
      </c>
      <c r="AC164" s="10"/>
      <c r="AD164" s="13"/>
      <c r="AE164" s="10"/>
      <c r="AF164" s="10"/>
      <c r="AG164" s="45"/>
      <c r="AH164" s="45"/>
      <c r="AI164" s="45"/>
      <c r="AJ164" s="41"/>
      <c r="AK164" s="45"/>
      <c r="AL164" s="45"/>
      <c r="AN164" s="128">
        <v>-876186</v>
      </c>
      <c r="AO164" s="45"/>
      <c r="AP164" s="46">
        <f t="shared" si="91"/>
        <v>-876186</v>
      </c>
      <c r="AQ164" s="47"/>
      <c r="AR164" s="55"/>
      <c r="AS164" s="55"/>
      <c r="AT164" s="54"/>
      <c r="AU164" s="54"/>
      <c r="AW164" s="48">
        <f t="shared" si="92"/>
        <v>-876186</v>
      </c>
      <c r="AX164" s="66"/>
      <c r="AY164" s="47">
        <f t="shared" si="93"/>
        <v>-876186</v>
      </c>
      <c r="AZ164" s="47">
        <v>876186</v>
      </c>
      <c r="BA164" s="47"/>
      <c r="BB164" s="47" t="e">
        <f>VLOOKUP($AA164,#REF!,3,0)*(+AY164+AZ164)</f>
        <v>#REF!</v>
      </c>
      <c r="BC164" s="47" t="e">
        <f>VLOOKUP($AB164,#REF!,3,0)*(+AY164+AZ164)</f>
        <v>#REF!</v>
      </c>
      <c r="BE164" s="47"/>
      <c r="BH164" s="47" t="e">
        <f t="shared" si="75"/>
        <v>#REF!</v>
      </c>
      <c r="BM164" s="47" t="e">
        <f t="shared" si="76"/>
        <v>#REF!</v>
      </c>
      <c r="BN164" s="66"/>
      <c r="BO164" s="47" t="e">
        <f t="shared" si="94"/>
        <v>#REF!</v>
      </c>
      <c r="BP164" s="47"/>
      <c r="BQ164" s="47"/>
      <c r="BR164" s="47" t="e">
        <f>VLOOKUP($AA164,#REF!,4,0)*(+BO164+BP164)</f>
        <v>#REF!</v>
      </c>
      <c r="BS164" s="47" t="e">
        <f>VLOOKUP($AB164,#REF!,4,0)*(+BO164+BP164)</f>
        <v>#REF!</v>
      </c>
      <c r="BV164" s="47"/>
      <c r="BW164" s="47"/>
      <c r="BX164" s="47"/>
      <c r="BY164" s="47" t="e">
        <f t="shared" si="89"/>
        <v>#REF!</v>
      </c>
      <c r="CD164" s="47" t="e">
        <f t="shared" si="78"/>
        <v>#REF!</v>
      </c>
      <c r="CE164" s="66"/>
      <c r="CF164" s="47" t="e">
        <f t="shared" si="95"/>
        <v>#REF!</v>
      </c>
      <c r="CG164" s="47"/>
      <c r="CH164" s="47"/>
      <c r="CI164" s="47" t="e">
        <f>VLOOKUP($AA164,#REF!,5,0)*(+CF164+CG164)</f>
        <v>#REF!</v>
      </c>
      <c r="CJ164" s="47" t="e">
        <f>VLOOKUP($AB164,#REF!,5,0)*(+CF164+CG164)</f>
        <v>#REF!</v>
      </c>
      <c r="CM164" s="47"/>
      <c r="CO164" s="47" t="e">
        <f t="shared" si="80"/>
        <v>#REF!</v>
      </c>
      <c r="CT164" s="47" t="e">
        <f t="shared" si="81"/>
        <v>#REF!</v>
      </c>
      <c r="CU164" s="66"/>
      <c r="CV164" s="47" t="e">
        <f t="shared" si="96"/>
        <v>#REF!</v>
      </c>
      <c r="CW164" s="47"/>
      <c r="CX164" s="47"/>
      <c r="CY164" s="47" t="e">
        <f>VLOOKUP($AA164,#REF!,6,0)*(+CV164+CW164)</f>
        <v>#REF!</v>
      </c>
      <c r="CZ164" s="47" t="e">
        <f>VLOOKUP($AB164,#REF!,6,0)*(+CV164+CW164)</f>
        <v>#REF!</v>
      </c>
      <c r="DC164" s="47"/>
      <c r="DE164" s="47" t="e">
        <f t="shared" si="83"/>
        <v>#REF!</v>
      </c>
      <c r="DJ164" s="47" t="e">
        <f t="shared" si="84"/>
        <v>#REF!</v>
      </c>
      <c r="DK164" s="66"/>
      <c r="DL164" s="47" t="e">
        <f t="shared" si="86"/>
        <v>#REF!</v>
      </c>
      <c r="DM164" s="47"/>
      <c r="DN164" s="47"/>
      <c r="DO164" s="47" t="e">
        <f>VLOOKUP($AA164,#REF!,7,0)*(+DL164+DM164)</f>
        <v>#REF!</v>
      </c>
      <c r="DP164" s="47" t="e">
        <f>VLOOKUP($AB164,#REF!,7,0)*(+DL164+DM164)</f>
        <v>#REF!</v>
      </c>
      <c r="DS164" s="47"/>
      <c r="DU164" s="47" t="e">
        <f t="shared" si="87"/>
        <v>#REF!</v>
      </c>
      <c r="DZ164" s="47" t="e">
        <f t="shared" si="88"/>
        <v>#REF!</v>
      </c>
      <c r="EA164" s="66"/>
    </row>
    <row r="165" spans="1:131" x14ac:dyDescent="0.2">
      <c r="A165" s="38" t="s">
        <v>380</v>
      </c>
      <c r="B165" s="39" t="s">
        <v>256</v>
      </c>
      <c r="C165" s="39" t="s">
        <v>365</v>
      </c>
      <c r="D165" s="39"/>
      <c r="E165" s="40">
        <v>186854</v>
      </c>
      <c r="F165" s="41"/>
      <c r="G165" s="41"/>
      <c r="H165" s="41"/>
      <c r="I165" s="41"/>
      <c r="J165" s="41"/>
      <c r="K165" s="51"/>
      <c r="L165" s="41"/>
      <c r="M165" s="41"/>
      <c r="N165" s="41"/>
      <c r="O165" s="41"/>
      <c r="P165" s="41"/>
      <c r="Q165" s="41"/>
      <c r="R165" s="41"/>
      <c r="S165" s="41"/>
      <c r="T165" s="42">
        <f t="shared" si="90"/>
        <v>186854</v>
      </c>
      <c r="U165" s="43"/>
      <c r="V165" s="139">
        <v>186854</v>
      </c>
      <c r="W165" s="143" t="s">
        <v>368</v>
      </c>
      <c r="X165" s="143">
        <v>11</v>
      </c>
      <c r="Y165" s="171" t="s">
        <v>423</v>
      </c>
      <c r="Z165" s="171" t="s">
        <v>342</v>
      </c>
      <c r="AA165" s="44" t="s">
        <v>290</v>
      </c>
      <c r="AB165" s="188" t="s">
        <v>513</v>
      </c>
      <c r="AC165" s="10"/>
      <c r="AD165" s="13">
        <v>5605.62</v>
      </c>
      <c r="AE165" s="10"/>
      <c r="AF165" s="10"/>
      <c r="AG165" s="45"/>
      <c r="AH165" s="45"/>
      <c r="AI165" s="45"/>
      <c r="AJ165" s="41"/>
      <c r="AK165" s="45"/>
      <c r="AL165" s="45"/>
      <c r="AN165" s="128">
        <v>0</v>
      </c>
      <c r="AO165" s="45"/>
      <c r="AP165" s="46">
        <f t="shared" si="91"/>
        <v>192459.62</v>
      </c>
      <c r="AQ165" s="47"/>
      <c r="AR165" s="53"/>
      <c r="AS165" s="53"/>
      <c r="AW165" s="48">
        <f t="shared" si="92"/>
        <v>192459.62</v>
      </c>
      <c r="AX165" s="66"/>
      <c r="AY165" s="47">
        <f t="shared" si="93"/>
        <v>192459.62</v>
      </c>
      <c r="AZ165" s="47"/>
      <c r="BB165" s="47" t="e">
        <f>VLOOKUP($AA165,#REF!,3,0)*(+AY165+AZ165)</f>
        <v>#REF!</v>
      </c>
      <c r="BC165" s="47" t="e">
        <f>VLOOKUP($AB165,#REF!,3,0)*(+AY165+AZ165)</f>
        <v>#REF!</v>
      </c>
      <c r="BE165" s="47"/>
      <c r="BH165" s="47" t="e">
        <f t="shared" si="75"/>
        <v>#REF!</v>
      </c>
      <c r="BM165" s="47" t="e">
        <f t="shared" si="76"/>
        <v>#REF!</v>
      </c>
      <c r="BN165" s="66"/>
      <c r="BO165" s="47" t="e">
        <f t="shared" si="94"/>
        <v>#REF!</v>
      </c>
      <c r="BP165" s="47"/>
      <c r="BR165" s="47" t="e">
        <f>VLOOKUP($AA165,#REF!,4,0)*(+BO165+BP165)</f>
        <v>#REF!</v>
      </c>
      <c r="BS165" s="47" t="e">
        <f>VLOOKUP($AB165,#REF!,4,0)*(+BO165+BP165)</f>
        <v>#REF!</v>
      </c>
      <c r="BV165" s="47"/>
      <c r="BW165" s="47"/>
      <c r="BX165" s="47"/>
      <c r="BY165" s="47" t="e">
        <f t="shared" si="89"/>
        <v>#REF!</v>
      </c>
      <c r="CD165" s="47" t="e">
        <f t="shared" si="78"/>
        <v>#REF!</v>
      </c>
      <c r="CE165" s="66"/>
      <c r="CF165" s="47" t="e">
        <f t="shared" si="95"/>
        <v>#REF!</v>
      </c>
      <c r="CG165" s="47"/>
      <c r="CI165" s="47" t="e">
        <f>VLOOKUP($AA165,#REF!,5,0)*(+CF165+CG165)</f>
        <v>#REF!</v>
      </c>
      <c r="CJ165" s="47" t="e">
        <f>VLOOKUP($AB165,#REF!,5,0)*(+CF165+CG165)</f>
        <v>#REF!</v>
      </c>
      <c r="CM165" s="47"/>
      <c r="CO165" s="47" t="e">
        <f t="shared" si="80"/>
        <v>#REF!</v>
      </c>
      <c r="CT165" s="47" t="e">
        <f t="shared" si="81"/>
        <v>#REF!</v>
      </c>
      <c r="CU165" s="66"/>
      <c r="CV165" s="47" t="e">
        <f t="shared" si="96"/>
        <v>#REF!</v>
      </c>
      <c r="CW165" s="47"/>
      <c r="CY165" s="47" t="e">
        <f>VLOOKUP($AA165,#REF!,6,0)*(+CV165+CW165)</f>
        <v>#REF!</v>
      </c>
      <c r="CZ165" s="47" t="e">
        <f>VLOOKUP($AB165,#REF!,6,0)*(+CV165+CW165)</f>
        <v>#REF!</v>
      </c>
      <c r="DC165" s="47"/>
      <c r="DE165" s="47" t="e">
        <f t="shared" si="83"/>
        <v>#REF!</v>
      </c>
      <c r="DJ165" s="47" t="e">
        <f t="shared" si="84"/>
        <v>#REF!</v>
      </c>
      <c r="DK165" s="66"/>
      <c r="DL165" s="47" t="e">
        <f t="shared" si="86"/>
        <v>#REF!</v>
      </c>
      <c r="DM165" s="47"/>
      <c r="DO165" s="47" t="e">
        <f>VLOOKUP($AA165,#REF!,7,0)*(+DL165+DM165)</f>
        <v>#REF!</v>
      </c>
      <c r="DP165" s="47" t="e">
        <f>VLOOKUP($AB165,#REF!,7,0)*(+DL165+DM165)</f>
        <v>#REF!</v>
      </c>
      <c r="DS165" s="47"/>
      <c r="DU165" s="47" t="e">
        <f t="shared" si="87"/>
        <v>#REF!</v>
      </c>
      <c r="DZ165" s="47" t="e">
        <f t="shared" si="88"/>
        <v>#REF!</v>
      </c>
      <c r="EA165" s="66"/>
    </row>
    <row r="166" spans="1:131" x14ac:dyDescent="0.2">
      <c r="A166" s="38" t="s">
        <v>380</v>
      </c>
      <c r="B166" s="39" t="s">
        <v>257</v>
      </c>
      <c r="C166" s="39" t="s">
        <v>258</v>
      </c>
      <c r="D166" s="39"/>
      <c r="E166" s="40">
        <v>17040</v>
      </c>
      <c r="F166" s="41"/>
      <c r="G166" s="41"/>
      <c r="H166" s="41"/>
      <c r="I166" s="41"/>
      <c r="J166" s="41"/>
      <c r="K166" s="51"/>
      <c r="L166" s="41"/>
      <c r="M166" s="41"/>
      <c r="N166" s="41"/>
      <c r="O166" s="41"/>
      <c r="P166" s="41"/>
      <c r="Q166" s="41"/>
      <c r="R166" s="41"/>
      <c r="S166" s="41"/>
      <c r="T166" s="42">
        <f t="shared" si="90"/>
        <v>17040</v>
      </c>
      <c r="U166" s="43"/>
      <c r="V166" s="139">
        <v>17040</v>
      </c>
      <c r="W166" s="143" t="s">
        <v>368</v>
      </c>
      <c r="X166" s="143">
        <v>11</v>
      </c>
      <c r="Y166" s="171" t="s">
        <v>423</v>
      </c>
      <c r="Z166" s="171" t="s">
        <v>342</v>
      </c>
      <c r="AA166" s="44" t="s">
        <v>290</v>
      </c>
      <c r="AB166" s="188" t="s">
        <v>513</v>
      </c>
      <c r="AC166" s="10"/>
      <c r="AD166" s="13">
        <v>511.2</v>
      </c>
      <c r="AE166" s="10"/>
      <c r="AF166" s="10"/>
      <c r="AG166" s="45"/>
      <c r="AH166" s="45"/>
      <c r="AI166" s="45"/>
      <c r="AJ166" s="41"/>
      <c r="AK166" s="45"/>
      <c r="AL166" s="45"/>
      <c r="AN166" s="128">
        <v>0</v>
      </c>
      <c r="AO166" s="45"/>
      <c r="AP166" s="46">
        <f t="shared" si="91"/>
        <v>17551.2</v>
      </c>
      <c r="AQ166" s="47"/>
      <c r="AW166" s="48">
        <f t="shared" si="92"/>
        <v>17551.2</v>
      </c>
      <c r="AX166" s="66"/>
      <c r="AY166" s="47">
        <f t="shared" si="93"/>
        <v>17551.2</v>
      </c>
      <c r="AZ166" s="47"/>
      <c r="BB166" s="47" t="e">
        <f>VLOOKUP($AA166,#REF!,3,0)*(+AY166+AZ166)</f>
        <v>#REF!</v>
      </c>
      <c r="BC166" s="47" t="e">
        <f>VLOOKUP($AB166,#REF!,3,0)*(+AY166+AZ166)</f>
        <v>#REF!</v>
      </c>
      <c r="BE166" s="47"/>
      <c r="BH166" s="47" t="e">
        <f t="shared" si="75"/>
        <v>#REF!</v>
      </c>
      <c r="BM166" s="47" t="e">
        <f t="shared" si="76"/>
        <v>#REF!</v>
      </c>
      <c r="BN166" s="66"/>
      <c r="BO166" s="47" t="e">
        <f t="shared" si="94"/>
        <v>#REF!</v>
      </c>
      <c r="BP166" s="47"/>
      <c r="BR166" s="47" t="e">
        <f>VLOOKUP($AA166,#REF!,4,0)*(+BO166+BP166)</f>
        <v>#REF!</v>
      </c>
      <c r="BS166" s="47" t="e">
        <f>VLOOKUP($AB166,#REF!,4,0)*(+BO166+BP166)</f>
        <v>#REF!</v>
      </c>
      <c r="BV166" s="47"/>
      <c r="BW166" s="47"/>
      <c r="BX166" s="47"/>
      <c r="BY166" s="47" t="e">
        <f t="shared" si="89"/>
        <v>#REF!</v>
      </c>
      <c r="CD166" s="47" t="e">
        <f t="shared" si="78"/>
        <v>#REF!</v>
      </c>
      <c r="CE166" s="66"/>
      <c r="CF166" s="47" t="e">
        <f t="shared" si="95"/>
        <v>#REF!</v>
      </c>
      <c r="CG166" s="47"/>
      <c r="CI166" s="47" t="e">
        <f>VLOOKUP($AA166,#REF!,5,0)*(+CF166+CG166)</f>
        <v>#REF!</v>
      </c>
      <c r="CJ166" s="47" t="e">
        <f>VLOOKUP($AB166,#REF!,5,0)*(+CF166+CG166)</f>
        <v>#REF!</v>
      </c>
      <c r="CM166" s="47"/>
      <c r="CO166" s="47" t="e">
        <f t="shared" si="80"/>
        <v>#REF!</v>
      </c>
      <c r="CT166" s="47" t="e">
        <f t="shared" si="81"/>
        <v>#REF!</v>
      </c>
      <c r="CU166" s="66"/>
      <c r="CV166" s="47" t="e">
        <f t="shared" si="96"/>
        <v>#REF!</v>
      </c>
      <c r="CW166" s="47"/>
      <c r="CY166" s="47" t="e">
        <f>VLOOKUP($AA166,#REF!,6,0)*(+CV166+CW166)</f>
        <v>#REF!</v>
      </c>
      <c r="CZ166" s="47" t="e">
        <f>VLOOKUP($AB166,#REF!,6,0)*(+CV166+CW166)</f>
        <v>#REF!</v>
      </c>
      <c r="DC166" s="47"/>
      <c r="DE166" s="47" t="e">
        <f t="shared" si="83"/>
        <v>#REF!</v>
      </c>
      <c r="DJ166" s="47" t="e">
        <f t="shared" si="84"/>
        <v>#REF!</v>
      </c>
      <c r="DK166" s="66"/>
      <c r="DL166" s="47" t="e">
        <f t="shared" si="86"/>
        <v>#REF!</v>
      </c>
      <c r="DM166" s="47"/>
      <c r="DO166" s="47" t="e">
        <f>VLOOKUP($AA166,#REF!,7,0)*(+DL166+DM166)</f>
        <v>#REF!</v>
      </c>
      <c r="DP166" s="47" t="e">
        <f>VLOOKUP($AB166,#REF!,7,0)*(+DL166+DM166)</f>
        <v>#REF!</v>
      </c>
      <c r="DS166" s="47"/>
      <c r="DU166" s="47" t="e">
        <f t="shared" si="87"/>
        <v>#REF!</v>
      </c>
      <c r="DZ166" s="47" t="e">
        <f t="shared" si="88"/>
        <v>#REF!</v>
      </c>
      <c r="EA166" s="66"/>
    </row>
    <row r="167" spans="1:131" x14ac:dyDescent="0.2">
      <c r="A167" s="38" t="s">
        <v>380</v>
      </c>
      <c r="B167" s="39" t="s">
        <v>259</v>
      </c>
      <c r="C167" s="39" t="s">
        <v>260</v>
      </c>
      <c r="D167" s="39"/>
      <c r="E167" s="40">
        <v>2184</v>
      </c>
      <c r="F167" s="41"/>
      <c r="G167" s="41"/>
      <c r="H167" s="41"/>
      <c r="I167" s="41"/>
      <c r="J167" s="41"/>
      <c r="K167" s="51"/>
      <c r="L167" s="41"/>
      <c r="M167" s="41"/>
      <c r="N167" s="41"/>
      <c r="O167" s="41"/>
      <c r="P167" s="41"/>
      <c r="Q167" s="41"/>
      <c r="R167" s="41"/>
      <c r="S167" s="41"/>
      <c r="T167" s="42">
        <f t="shared" si="90"/>
        <v>2184</v>
      </c>
      <c r="U167" s="43"/>
      <c r="V167" s="139">
        <v>2184</v>
      </c>
      <c r="W167" s="143" t="s">
        <v>368</v>
      </c>
      <c r="X167" s="143">
        <v>11</v>
      </c>
      <c r="Y167" s="171" t="s">
        <v>423</v>
      </c>
      <c r="Z167" s="171" t="s">
        <v>342</v>
      </c>
      <c r="AA167" s="44" t="s">
        <v>290</v>
      </c>
      <c r="AB167" s="188" t="s">
        <v>513</v>
      </c>
      <c r="AC167" s="10"/>
      <c r="AD167" s="13">
        <v>65.52</v>
      </c>
      <c r="AE167" s="10"/>
      <c r="AF167" s="10"/>
      <c r="AG167" s="45"/>
      <c r="AH167" s="45"/>
      <c r="AI167" s="45"/>
      <c r="AJ167" s="41"/>
      <c r="AK167" s="45"/>
      <c r="AL167" s="45"/>
      <c r="AN167" s="128">
        <v>0</v>
      </c>
      <c r="AO167" s="45"/>
      <c r="AP167" s="46">
        <f t="shared" si="91"/>
        <v>2249.52</v>
      </c>
      <c r="AQ167" s="47"/>
      <c r="AW167" s="48">
        <f t="shared" si="92"/>
        <v>2249.52</v>
      </c>
      <c r="AX167" s="66"/>
      <c r="AY167" s="47">
        <f t="shared" si="93"/>
        <v>2249.52</v>
      </c>
      <c r="AZ167" s="47"/>
      <c r="BB167" s="47" t="e">
        <f>VLOOKUP($AA167,#REF!,3,0)*(+AY167+AZ167)</f>
        <v>#REF!</v>
      </c>
      <c r="BC167" s="47" t="e">
        <f>VLOOKUP($AB167,#REF!,3,0)*(+AY167+AZ167)</f>
        <v>#REF!</v>
      </c>
      <c r="BE167" s="47"/>
      <c r="BH167" s="47" t="e">
        <f t="shared" si="75"/>
        <v>#REF!</v>
      </c>
      <c r="BM167" s="47" t="e">
        <f t="shared" si="76"/>
        <v>#REF!</v>
      </c>
      <c r="BN167" s="66"/>
      <c r="BO167" s="47" t="e">
        <f t="shared" si="94"/>
        <v>#REF!</v>
      </c>
      <c r="BP167" s="47"/>
      <c r="BR167" s="47" t="e">
        <f>VLOOKUP($AA167,#REF!,4,0)*(+BO167+BP167)</f>
        <v>#REF!</v>
      </c>
      <c r="BS167" s="47" t="e">
        <f>VLOOKUP($AB167,#REF!,4,0)*(+BO167+BP167)</f>
        <v>#REF!</v>
      </c>
      <c r="BV167" s="47"/>
      <c r="BW167" s="47"/>
      <c r="BX167" s="47"/>
      <c r="BY167" s="47" t="e">
        <f t="shared" si="89"/>
        <v>#REF!</v>
      </c>
      <c r="CD167" s="47" t="e">
        <f t="shared" si="78"/>
        <v>#REF!</v>
      </c>
      <c r="CE167" s="66"/>
      <c r="CF167" s="47" t="e">
        <f t="shared" si="95"/>
        <v>#REF!</v>
      </c>
      <c r="CG167" s="47"/>
      <c r="CI167" s="47" t="e">
        <f>VLOOKUP($AA167,#REF!,5,0)*(+CF167+CG167)</f>
        <v>#REF!</v>
      </c>
      <c r="CJ167" s="47" t="e">
        <f>VLOOKUP($AB167,#REF!,5,0)*(+CF167+CG167)</f>
        <v>#REF!</v>
      </c>
      <c r="CM167" s="47"/>
      <c r="CO167" s="47" t="e">
        <f t="shared" si="80"/>
        <v>#REF!</v>
      </c>
      <c r="CT167" s="47" t="e">
        <f t="shared" si="81"/>
        <v>#REF!</v>
      </c>
      <c r="CU167" s="66"/>
      <c r="CV167" s="47" t="e">
        <f t="shared" si="96"/>
        <v>#REF!</v>
      </c>
      <c r="CW167" s="47"/>
      <c r="CY167" s="47" t="e">
        <f>VLOOKUP($AA167,#REF!,6,0)*(+CV167+CW167)</f>
        <v>#REF!</v>
      </c>
      <c r="CZ167" s="47" t="e">
        <f>VLOOKUP($AB167,#REF!,6,0)*(+CV167+CW167)</f>
        <v>#REF!</v>
      </c>
      <c r="DC167" s="47"/>
      <c r="DE167" s="47" t="e">
        <f t="shared" si="83"/>
        <v>#REF!</v>
      </c>
      <c r="DJ167" s="47" t="e">
        <f t="shared" si="84"/>
        <v>#REF!</v>
      </c>
      <c r="DK167" s="66"/>
      <c r="DL167" s="47" t="e">
        <f t="shared" si="86"/>
        <v>#REF!</v>
      </c>
      <c r="DM167" s="47"/>
      <c r="DO167" s="47" t="e">
        <f>VLOOKUP($AA167,#REF!,7,0)*(+DL167+DM167)</f>
        <v>#REF!</v>
      </c>
      <c r="DP167" s="47" t="e">
        <f>VLOOKUP($AB167,#REF!,7,0)*(+DL167+DM167)</f>
        <v>#REF!</v>
      </c>
      <c r="DS167" s="47"/>
      <c r="DU167" s="47" t="e">
        <f t="shared" si="87"/>
        <v>#REF!</v>
      </c>
      <c r="DZ167" s="47" t="e">
        <f t="shared" si="88"/>
        <v>#REF!</v>
      </c>
      <c r="EA167" s="66"/>
    </row>
    <row r="168" spans="1:131" x14ac:dyDescent="0.2">
      <c r="A168" s="38" t="s">
        <v>380</v>
      </c>
      <c r="B168" s="39" t="s">
        <v>261</v>
      </c>
      <c r="C168" s="39" t="s">
        <v>366</v>
      </c>
      <c r="D168" s="39"/>
      <c r="E168" s="40">
        <v>293256</v>
      </c>
      <c r="F168" s="41"/>
      <c r="G168" s="41"/>
      <c r="H168" s="41"/>
      <c r="I168" s="41"/>
      <c r="J168" s="41"/>
      <c r="K168" s="51"/>
      <c r="L168" s="41"/>
      <c r="M168" s="41"/>
      <c r="N168" s="41"/>
      <c r="O168" s="41"/>
      <c r="P168" s="41"/>
      <c r="Q168" s="41"/>
      <c r="R168" s="41"/>
      <c r="S168" s="41"/>
      <c r="T168" s="42">
        <f t="shared" si="90"/>
        <v>293256</v>
      </c>
      <c r="U168" s="43"/>
      <c r="V168" s="139">
        <v>293256</v>
      </c>
      <c r="W168" s="143" t="s">
        <v>368</v>
      </c>
      <c r="X168" s="143">
        <v>11</v>
      </c>
      <c r="Y168" s="171" t="s">
        <v>423</v>
      </c>
      <c r="Z168" s="171" t="s">
        <v>342</v>
      </c>
      <c r="AA168" s="44" t="s">
        <v>290</v>
      </c>
      <c r="AB168" s="188" t="s">
        <v>513</v>
      </c>
      <c r="AC168" s="10"/>
      <c r="AD168" s="13">
        <v>8797.68</v>
      </c>
      <c r="AE168" s="10"/>
      <c r="AF168" s="10"/>
      <c r="AG168" s="45"/>
      <c r="AH168" s="45"/>
      <c r="AI168" s="45"/>
      <c r="AJ168" s="41"/>
      <c r="AK168" s="45"/>
      <c r="AL168" s="45"/>
      <c r="AN168" s="128">
        <v>0</v>
      </c>
      <c r="AO168" s="45"/>
      <c r="AP168" s="46">
        <f t="shared" si="91"/>
        <v>302053.68</v>
      </c>
      <c r="AQ168" s="47"/>
      <c r="AW168" s="48">
        <f t="shared" si="92"/>
        <v>302053.68</v>
      </c>
      <c r="AX168" s="66"/>
      <c r="AY168" s="47">
        <f t="shared" si="93"/>
        <v>302053.68</v>
      </c>
      <c r="AZ168" s="47"/>
      <c r="BB168" s="47" t="e">
        <f>VLOOKUP($AA168,#REF!,3,0)*(+AY168+AZ168)</f>
        <v>#REF!</v>
      </c>
      <c r="BC168" s="47" t="e">
        <f>VLOOKUP($AB168,#REF!,3,0)*(+AY168+AZ168)</f>
        <v>#REF!</v>
      </c>
      <c r="BE168" s="47"/>
      <c r="BH168" s="47" t="e">
        <f t="shared" si="75"/>
        <v>#REF!</v>
      </c>
      <c r="BM168" s="47" t="e">
        <f t="shared" si="76"/>
        <v>#REF!</v>
      </c>
      <c r="BN168" s="66"/>
      <c r="BO168" s="47" t="e">
        <f t="shared" si="94"/>
        <v>#REF!</v>
      </c>
      <c r="BP168" s="47"/>
      <c r="BR168" s="47" t="e">
        <f>VLOOKUP($AA168,#REF!,4,0)*(+BO168+BP168)</f>
        <v>#REF!</v>
      </c>
      <c r="BS168" s="47" t="e">
        <f>VLOOKUP($AB168,#REF!,4,0)*(+BO168+BP168)</f>
        <v>#REF!</v>
      </c>
      <c r="BV168" s="47"/>
      <c r="BW168" s="47"/>
      <c r="BX168" s="47"/>
      <c r="BY168" s="47" t="e">
        <f t="shared" si="89"/>
        <v>#REF!</v>
      </c>
      <c r="CD168" s="47" t="e">
        <f t="shared" si="78"/>
        <v>#REF!</v>
      </c>
      <c r="CE168" s="66"/>
      <c r="CF168" s="47" t="e">
        <f t="shared" si="95"/>
        <v>#REF!</v>
      </c>
      <c r="CG168" s="47"/>
      <c r="CI168" s="47" t="e">
        <f>VLOOKUP($AA168,#REF!,5,0)*(+CF168+CG168)</f>
        <v>#REF!</v>
      </c>
      <c r="CJ168" s="47" t="e">
        <f>VLOOKUP($AB168,#REF!,5,0)*(+CF168+CG168)</f>
        <v>#REF!</v>
      </c>
      <c r="CM168" s="47"/>
      <c r="CO168" s="47" t="e">
        <f t="shared" si="80"/>
        <v>#REF!</v>
      </c>
      <c r="CT168" s="47" t="e">
        <f t="shared" si="81"/>
        <v>#REF!</v>
      </c>
      <c r="CU168" s="66"/>
      <c r="CV168" s="47" t="e">
        <f t="shared" si="96"/>
        <v>#REF!</v>
      </c>
      <c r="CW168" s="47"/>
      <c r="CY168" s="47" t="e">
        <f>VLOOKUP($AA168,#REF!,6,0)*(+CV168+CW168)</f>
        <v>#REF!</v>
      </c>
      <c r="CZ168" s="47" t="e">
        <f>VLOOKUP($AB168,#REF!,6,0)*(+CV168+CW168)</f>
        <v>#REF!</v>
      </c>
      <c r="DC168" s="47"/>
      <c r="DE168" s="47" t="e">
        <f t="shared" si="83"/>
        <v>#REF!</v>
      </c>
      <c r="DJ168" s="47" t="e">
        <f t="shared" si="84"/>
        <v>#REF!</v>
      </c>
      <c r="DK168" s="66"/>
      <c r="DL168" s="47" t="e">
        <f t="shared" si="86"/>
        <v>#REF!</v>
      </c>
      <c r="DM168" s="47"/>
      <c r="DO168" s="47" t="e">
        <f>VLOOKUP($AA168,#REF!,7,0)*(+DL168+DM168)</f>
        <v>#REF!</v>
      </c>
      <c r="DP168" s="47" t="e">
        <f>VLOOKUP($AB168,#REF!,7,0)*(+DL168+DM168)</f>
        <v>#REF!</v>
      </c>
      <c r="DS168" s="47"/>
      <c r="DU168" s="47" t="e">
        <f t="shared" si="87"/>
        <v>#REF!</v>
      </c>
      <c r="DZ168" s="47" t="e">
        <f t="shared" si="88"/>
        <v>#REF!</v>
      </c>
      <c r="EA168" s="66"/>
    </row>
    <row r="169" spans="1:131" x14ac:dyDescent="0.2">
      <c r="A169" s="38" t="s">
        <v>380</v>
      </c>
      <c r="B169" s="39" t="s">
        <v>264</v>
      </c>
      <c r="C169" s="39" t="s">
        <v>265</v>
      </c>
      <c r="D169" s="39"/>
      <c r="E169" s="40">
        <v>22680</v>
      </c>
      <c r="F169" s="41"/>
      <c r="G169" s="41"/>
      <c r="H169" s="41"/>
      <c r="I169" s="41"/>
      <c r="J169" s="41"/>
      <c r="K169" s="51"/>
      <c r="L169" s="41"/>
      <c r="M169" s="41"/>
      <c r="N169" s="41"/>
      <c r="O169" s="41"/>
      <c r="P169" s="41"/>
      <c r="Q169" s="41"/>
      <c r="R169" s="41"/>
      <c r="S169" s="41"/>
      <c r="T169" s="42">
        <f t="shared" si="90"/>
        <v>22680</v>
      </c>
      <c r="U169" s="43"/>
      <c r="V169" s="139">
        <v>22680</v>
      </c>
      <c r="W169" s="143" t="s">
        <v>368</v>
      </c>
      <c r="X169" s="143">
        <v>11</v>
      </c>
      <c r="Y169" s="171" t="s">
        <v>426</v>
      </c>
      <c r="Z169" s="171" t="s">
        <v>342</v>
      </c>
      <c r="AA169" s="44" t="s">
        <v>290</v>
      </c>
      <c r="AB169" s="188" t="s">
        <v>513</v>
      </c>
      <c r="AC169" s="10"/>
      <c r="AD169" s="13">
        <v>680.4</v>
      </c>
      <c r="AE169" s="10"/>
      <c r="AF169" s="10"/>
      <c r="AG169" s="45"/>
      <c r="AH169" s="45"/>
      <c r="AI169" s="45"/>
      <c r="AJ169" s="41"/>
      <c r="AK169" s="45"/>
      <c r="AL169" s="45"/>
      <c r="AN169" s="128">
        <v>0</v>
      </c>
      <c r="AO169" s="45"/>
      <c r="AP169" s="46">
        <f t="shared" si="91"/>
        <v>23360.400000000001</v>
      </c>
      <c r="AQ169" s="47"/>
      <c r="AW169" s="48">
        <f t="shared" si="92"/>
        <v>23360.400000000001</v>
      </c>
      <c r="AX169" s="66"/>
      <c r="AY169" s="47">
        <f t="shared" si="93"/>
        <v>23360.400000000001</v>
      </c>
      <c r="AZ169" s="47"/>
      <c r="BB169" s="47" t="e">
        <f>VLOOKUP($AA169,#REF!,3,0)*(+AY169+AZ169)</f>
        <v>#REF!</v>
      </c>
      <c r="BC169" s="47" t="e">
        <f>VLOOKUP($AB169,#REF!,3,0)*(+AY169+AZ169)</f>
        <v>#REF!</v>
      </c>
      <c r="BE169" s="47"/>
      <c r="BH169" s="47" t="e">
        <f t="shared" si="75"/>
        <v>#REF!</v>
      </c>
      <c r="BM169" s="47" t="e">
        <f t="shared" si="76"/>
        <v>#REF!</v>
      </c>
      <c r="BN169" s="66"/>
      <c r="BO169" s="47" t="e">
        <f t="shared" si="94"/>
        <v>#REF!</v>
      </c>
      <c r="BP169" s="47"/>
      <c r="BR169" s="47" t="e">
        <f>VLOOKUP($AA169,#REF!,4,0)*(+BO169+BP169)</f>
        <v>#REF!</v>
      </c>
      <c r="BS169" s="47" t="e">
        <f>VLOOKUP($AB169,#REF!,4,0)*(+BO169+BP169)</f>
        <v>#REF!</v>
      </c>
      <c r="BV169" s="47"/>
      <c r="BW169" s="47"/>
      <c r="BX169" s="47"/>
      <c r="BY169" s="47" t="e">
        <f t="shared" si="89"/>
        <v>#REF!</v>
      </c>
      <c r="CD169" s="47" t="e">
        <f t="shared" si="78"/>
        <v>#REF!</v>
      </c>
      <c r="CE169" s="66"/>
      <c r="CF169" s="47" t="e">
        <f t="shared" si="95"/>
        <v>#REF!</v>
      </c>
      <c r="CG169" s="47"/>
      <c r="CI169" s="47" t="e">
        <f>VLOOKUP($AA169,#REF!,5,0)*(+CF169+CG169)</f>
        <v>#REF!</v>
      </c>
      <c r="CJ169" s="47" t="e">
        <f>VLOOKUP($AB169,#REF!,5,0)*(+CF169+CG169)</f>
        <v>#REF!</v>
      </c>
      <c r="CM169" s="47"/>
      <c r="CO169" s="47" t="e">
        <f t="shared" si="80"/>
        <v>#REF!</v>
      </c>
      <c r="CT169" s="47" t="e">
        <f t="shared" si="81"/>
        <v>#REF!</v>
      </c>
      <c r="CU169" s="66"/>
      <c r="CV169" s="47" t="e">
        <f t="shared" si="96"/>
        <v>#REF!</v>
      </c>
      <c r="CW169" s="47"/>
      <c r="CY169" s="47" t="e">
        <f>VLOOKUP($AA169,#REF!,6,0)*(+CV169+CW169)</f>
        <v>#REF!</v>
      </c>
      <c r="CZ169" s="47" t="e">
        <f>VLOOKUP($AB169,#REF!,6,0)*(+CV169+CW169)</f>
        <v>#REF!</v>
      </c>
      <c r="DC169" s="47"/>
      <c r="DE169" s="47" t="e">
        <f t="shared" si="83"/>
        <v>#REF!</v>
      </c>
      <c r="DJ169" s="47" t="e">
        <f t="shared" si="84"/>
        <v>#REF!</v>
      </c>
      <c r="DK169" s="66"/>
      <c r="DL169" s="47" t="e">
        <f t="shared" si="86"/>
        <v>#REF!</v>
      </c>
      <c r="DM169" s="47"/>
      <c r="DO169" s="47" t="e">
        <f>VLOOKUP($AA169,#REF!,7,0)*(+DL169+DM169)</f>
        <v>#REF!</v>
      </c>
      <c r="DP169" s="47" t="e">
        <f>VLOOKUP($AB169,#REF!,7,0)*(+DL169+DM169)</f>
        <v>#REF!</v>
      </c>
      <c r="DS169" s="47"/>
      <c r="DU169" s="47" t="e">
        <f t="shared" si="87"/>
        <v>#REF!</v>
      </c>
      <c r="DZ169" s="47" t="e">
        <f t="shared" si="88"/>
        <v>#REF!</v>
      </c>
      <c r="EA169" s="66"/>
    </row>
    <row r="170" spans="1:131" x14ac:dyDescent="0.2">
      <c r="A170" s="38" t="s">
        <v>381</v>
      </c>
      <c r="B170" s="39"/>
      <c r="C170" s="39" t="s">
        <v>270</v>
      </c>
      <c r="D170" s="39"/>
      <c r="E170" s="40"/>
      <c r="F170" s="41"/>
      <c r="G170" s="41"/>
      <c r="H170" s="41"/>
      <c r="I170" s="41"/>
      <c r="J170" s="41"/>
      <c r="K170" s="51"/>
      <c r="L170" s="41"/>
      <c r="M170" s="41"/>
      <c r="N170" s="41"/>
      <c r="O170" s="41">
        <v>976892</v>
      </c>
      <c r="P170" s="41"/>
      <c r="Q170" s="41"/>
      <c r="R170" s="41"/>
      <c r="S170" s="41"/>
      <c r="T170" s="42">
        <f t="shared" si="90"/>
        <v>976892</v>
      </c>
      <c r="U170" s="43"/>
      <c r="V170" s="136">
        <v>976892</v>
      </c>
      <c r="W170" s="143" t="s">
        <v>368</v>
      </c>
      <c r="X170" s="143">
        <v>16</v>
      </c>
      <c r="Y170" s="171" t="s">
        <v>426</v>
      </c>
      <c r="Z170" s="171" t="s">
        <v>342</v>
      </c>
      <c r="AA170" s="44" t="s">
        <v>290</v>
      </c>
      <c r="AB170" s="188" t="s">
        <v>513</v>
      </c>
      <c r="AC170" s="10"/>
      <c r="AD170" s="13">
        <v>29306.76</v>
      </c>
      <c r="AE170" s="10"/>
      <c r="AF170" s="10"/>
      <c r="AG170" s="45"/>
      <c r="AH170" s="45"/>
      <c r="AI170" s="45"/>
      <c r="AJ170" s="41"/>
      <c r="AK170" s="45"/>
      <c r="AL170" s="45"/>
      <c r="AN170" s="128">
        <v>0</v>
      </c>
      <c r="AO170" s="45"/>
      <c r="AP170" s="46">
        <f t="shared" si="91"/>
        <v>1006198.76</v>
      </c>
      <c r="AQ170" s="47"/>
      <c r="AR170" s="54"/>
      <c r="AS170" s="54"/>
      <c r="AW170" s="48">
        <f t="shared" si="92"/>
        <v>1006198.76</v>
      </c>
      <c r="AX170" s="66"/>
      <c r="AY170" s="47">
        <f t="shared" si="93"/>
        <v>1006198.76</v>
      </c>
      <c r="AZ170" s="47"/>
      <c r="BB170" s="47" t="e">
        <f>VLOOKUP($AA170,#REF!,3,0)*(+AY170+AZ170)</f>
        <v>#REF!</v>
      </c>
      <c r="BC170" s="47" t="e">
        <f>VLOOKUP($AB170,#REF!,3,0)*(+AY170+AZ170)</f>
        <v>#REF!</v>
      </c>
      <c r="BE170" s="47"/>
      <c r="BH170" s="47" t="e">
        <f t="shared" si="75"/>
        <v>#REF!</v>
      </c>
      <c r="BM170" s="47" t="e">
        <f t="shared" si="76"/>
        <v>#REF!</v>
      </c>
      <c r="BN170" s="66"/>
      <c r="BO170" s="47" t="e">
        <f t="shared" si="94"/>
        <v>#REF!</v>
      </c>
      <c r="BP170" s="47"/>
      <c r="BR170" s="47" t="e">
        <f>VLOOKUP($AA170,#REF!,4,0)*(+BO170+BP170)</f>
        <v>#REF!</v>
      </c>
      <c r="BS170" s="47" t="e">
        <f>VLOOKUP($AB170,#REF!,4,0)*(+BO170+BP170)</f>
        <v>#REF!</v>
      </c>
      <c r="BV170" s="47"/>
      <c r="BW170" s="47"/>
      <c r="BX170" s="47"/>
      <c r="BY170" s="47" t="e">
        <f t="shared" si="89"/>
        <v>#REF!</v>
      </c>
      <c r="CD170" s="47" t="e">
        <f t="shared" si="78"/>
        <v>#REF!</v>
      </c>
      <c r="CE170" s="66"/>
      <c r="CF170" s="47" t="e">
        <f t="shared" si="95"/>
        <v>#REF!</v>
      </c>
      <c r="CG170" s="47"/>
      <c r="CI170" s="47" t="e">
        <f>VLOOKUP($AA170,#REF!,5,0)*(+CF170+CG170)</f>
        <v>#REF!</v>
      </c>
      <c r="CJ170" s="47" t="e">
        <f>VLOOKUP($AB170,#REF!,5,0)*(+CF170+CG170)</f>
        <v>#REF!</v>
      </c>
      <c r="CM170" s="47"/>
      <c r="CO170" s="47" t="e">
        <f t="shared" si="80"/>
        <v>#REF!</v>
      </c>
      <c r="CT170" s="47" t="e">
        <f t="shared" si="81"/>
        <v>#REF!</v>
      </c>
      <c r="CU170" s="66"/>
      <c r="CV170" s="47" t="e">
        <f t="shared" si="96"/>
        <v>#REF!</v>
      </c>
      <c r="CW170" s="47"/>
      <c r="CY170" s="47" t="e">
        <f>VLOOKUP($AA170,#REF!,6,0)*(+CV170+CW170)</f>
        <v>#REF!</v>
      </c>
      <c r="CZ170" s="47" t="e">
        <f>VLOOKUP($AB170,#REF!,6,0)*(+CV170+CW170)</f>
        <v>#REF!</v>
      </c>
      <c r="DC170" s="47"/>
      <c r="DE170" s="47" t="e">
        <f t="shared" si="83"/>
        <v>#REF!</v>
      </c>
      <c r="DJ170" s="47" t="e">
        <f t="shared" si="84"/>
        <v>#REF!</v>
      </c>
      <c r="DK170" s="66"/>
      <c r="DL170" s="47" t="e">
        <f t="shared" si="86"/>
        <v>#REF!</v>
      </c>
      <c r="DM170" s="47"/>
      <c r="DO170" s="47" t="e">
        <f>VLOOKUP($AA170,#REF!,7,0)*(+DL170+DM170)</f>
        <v>#REF!</v>
      </c>
      <c r="DP170" s="47" t="e">
        <f>VLOOKUP($AB170,#REF!,7,0)*(+DL170+DM170)</f>
        <v>#REF!</v>
      </c>
      <c r="DS170" s="47"/>
      <c r="DU170" s="47" t="e">
        <f t="shared" si="87"/>
        <v>#REF!</v>
      </c>
      <c r="DZ170" s="47" t="e">
        <f t="shared" si="88"/>
        <v>#REF!</v>
      </c>
      <c r="EA170" s="66"/>
    </row>
    <row r="171" spans="1:131" x14ac:dyDescent="0.2">
      <c r="A171" s="38" t="s">
        <v>381</v>
      </c>
      <c r="B171" s="39"/>
      <c r="C171" s="39" t="s">
        <v>272</v>
      </c>
      <c r="D171" s="39"/>
      <c r="E171" s="40"/>
      <c r="F171" s="41"/>
      <c r="G171" s="41"/>
      <c r="H171" s="41"/>
      <c r="I171" s="41"/>
      <c r="J171" s="41"/>
      <c r="K171" s="51"/>
      <c r="L171" s="41"/>
      <c r="M171" s="41"/>
      <c r="N171" s="41"/>
      <c r="O171" s="41">
        <v>673700</v>
      </c>
      <c r="P171" s="41"/>
      <c r="Q171" s="41"/>
      <c r="R171" s="41"/>
      <c r="S171" s="41"/>
      <c r="T171" s="42">
        <f t="shared" si="90"/>
        <v>673700</v>
      </c>
      <c r="U171" s="43"/>
      <c r="V171" s="136">
        <v>673700</v>
      </c>
      <c r="W171" s="143" t="s">
        <v>368</v>
      </c>
      <c r="X171" s="143">
        <v>16</v>
      </c>
      <c r="Y171" s="171" t="s">
        <v>426</v>
      </c>
      <c r="Z171" s="171" t="s">
        <v>342</v>
      </c>
      <c r="AA171" s="44" t="s">
        <v>290</v>
      </c>
      <c r="AB171" s="188" t="s">
        <v>513</v>
      </c>
      <c r="AC171" s="10"/>
      <c r="AD171" s="13">
        <v>20211</v>
      </c>
      <c r="AE171" s="10"/>
      <c r="AF171" s="10"/>
      <c r="AG171" s="45"/>
      <c r="AH171" s="45"/>
      <c r="AI171" s="45"/>
      <c r="AJ171" s="41"/>
      <c r="AK171" s="45"/>
      <c r="AL171" s="45"/>
      <c r="AN171" s="128">
        <v>0</v>
      </c>
      <c r="AO171" s="45"/>
      <c r="AP171" s="46">
        <f t="shared" si="91"/>
        <v>693911</v>
      </c>
      <c r="AQ171" s="47"/>
      <c r="AW171" s="48">
        <f t="shared" si="92"/>
        <v>693911</v>
      </c>
      <c r="AX171" s="66"/>
      <c r="AY171" s="47">
        <f t="shared" si="93"/>
        <v>693911</v>
      </c>
      <c r="AZ171" s="47"/>
      <c r="BB171" s="47" t="e">
        <f>VLOOKUP($AA171,#REF!,3,0)*(+AY171+AZ171)</f>
        <v>#REF!</v>
      </c>
      <c r="BC171" s="47" t="e">
        <f>VLOOKUP($AB171,#REF!,3,0)*(+AY171+AZ171)</f>
        <v>#REF!</v>
      </c>
      <c r="BE171" s="47"/>
      <c r="BH171" s="47" t="e">
        <f t="shared" si="75"/>
        <v>#REF!</v>
      </c>
      <c r="BM171" s="47" t="e">
        <f t="shared" si="76"/>
        <v>#REF!</v>
      </c>
      <c r="BN171" s="66"/>
      <c r="BO171" s="47" t="e">
        <f t="shared" si="94"/>
        <v>#REF!</v>
      </c>
      <c r="BP171" s="47"/>
      <c r="BR171" s="47" t="e">
        <f>VLOOKUP($AA171,#REF!,4,0)*(+BO171+BP171)</f>
        <v>#REF!</v>
      </c>
      <c r="BS171" s="47" t="e">
        <f>VLOOKUP($AB171,#REF!,4,0)*(+BO171+BP171)</f>
        <v>#REF!</v>
      </c>
      <c r="BV171" s="47"/>
      <c r="BW171" s="47"/>
      <c r="BX171" s="47"/>
      <c r="BY171" s="47" t="e">
        <f t="shared" si="89"/>
        <v>#REF!</v>
      </c>
      <c r="CD171" s="47" t="e">
        <f t="shared" si="78"/>
        <v>#REF!</v>
      </c>
      <c r="CE171" s="66"/>
      <c r="CF171" s="47" t="e">
        <f t="shared" si="95"/>
        <v>#REF!</v>
      </c>
      <c r="CG171" s="47"/>
      <c r="CI171" s="47" t="e">
        <f>VLOOKUP($AA171,#REF!,5,0)*(+CF171+CG171)</f>
        <v>#REF!</v>
      </c>
      <c r="CJ171" s="47" t="e">
        <f>VLOOKUP($AB171,#REF!,5,0)*(+CF171+CG171)</f>
        <v>#REF!</v>
      </c>
      <c r="CM171" s="47"/>
      <c r="CO171" s="47" t="e">
        <f t="shared" si="80"/>
        <v>#REF!</v>
      </c>
      <c r="CT171" s="47" t="e">
        <f t="shared" si="81"/>
        <v>#REF!</v>
      </c>
      <c r="CU171" s="66"/>
      <c r="CV171" s="47" t="e">
        <f t="shared" si="96"/>
        <v>#REF!</v>
      </c>
      <c r="CW171" s="47"/>
      <c r="CY171" s="47" t="e">
        <f>VLOOKUP($AA171,#REF!,6,0)*(+CV171+CW171)</f>
        <v>#REF!</v>
      </c>
      <c r="CZ171" s="47" t="e">
        <f>VLOOKUP($AB171,#REF!,6,0)*(+CV171+CW171)</f>
        <v>#REF!</v>
      </c>
      <c r="DC171" s="47"/>
      <c r="DE171" s="47" t="e">
        <f t="shared" si="83"/>
        <v>#REF!</v>
      </c>
      <c r="DJ171" s="47" t="e">
        <f t="shared" si="84"/>
        <v>#REF!</v>
      </c>
      <c r="DK171" s="66"/>
      <c r="DL171" s="47" t="e">
        <f t="shared" si="86"/>
        <v>#REF!</v>
      </c>
      <c r="DM171" s="47"/>
      <c r="DO171" s="47" t="e">
        <f>VLOOKUP($AA171,#REF!,7,0)*(+DL171+DM171)</f>
        <v>#REF!</v>
      </c>
      <c r="DP171" s="47" t="e">
        <f>VLOOKUP($AB171,#REF!,7,0)*(+DL171+DM171)</f>
        <v>#REF!</v>
      </c>
      <c r="DS171" s="47"/>
      <c r="DU171" s="47" t="e">
        <f t="shared" si="87"/>
        <v>#REF!</v>
      </c>
      <c r="DZ171" s="47" t="e">
        <f t="shared" si="88"/>
        <v>#REF!</v>
      </c>
      <c r="EA171" s="66"/>
    </row>
    <row r="172" spans="1:131" x14ac:dyDescent="0.2">
      <c r="B172" s="250"/>
      <c r="C172" s="250"/>
      <c r="D172" s="250"/>
      <c r="E172" s="251"/>
      <c r="F172" s="41"/>
      <c r="G172" s="41"/>
      <c r="H172" s="41"/>
      <c r="I172" s="41"/>
      <c r="J172" s="41"/>
      <c r="K172" s="51"/>
      <c r="L172" s="41"/>
      <c r="M172" s="41"/>
      <c r="N172" s="41"/>
      <c r="O172" s="41"/>
      <c r="P172" s="41"/>
      <c r="Q172" s="41"/>
      <c r="R172" s="41"/>
      <c r="S172" s="41"/>
      <c r="T172" s="42"/>
      <c r="U172" s="43"/>
      <c r="V172" s="136"/>
      <c r="W172" s="143"/>
      <c r="X172" s="143"/>
      <c r="Y172" s="171"/>
      <c r="Z172" s="171" t="s">
        <v>342</v>
      </c>
      <c r="AA172" s="44" t="s">
        <v>290</v>
      </c>
      <c r="AB172" s="188" t="s">
        <v>513</v>
      </c>
      <c r="AC172" s="10"/>
      <c r="AD172" s="13"/>
      <c r="AE172" s="10"/>
      <c r="AF172" s="10"/>
      <c r="AG172" s="45"/>
      <c r="AH172" s="45"/>
      <c r="AI172" s="45"/>
      <c r="AJ172" s="41"/>
      <c r="AK172" s="45"/>
      <c r="AL172" s="45"/>
      <c r="AN172" s="128"/>
      <c r="AO172" s="45"/>
      <c r="AP172" s="46"/>
      <c r="AQ172" s="47"/>
      <c r="AW172" s="48"/>
      <c r="AX172" s="66"/>
      <c r="AY172" s="47">
        <v>0</v>
      </c>
      <c r="AZ172" s="249"/>
      <c r="BB172" s="47" t="e">
        <f>VLOOKUP($AA172,#REF!,3,0)*(+AY172+AZ172)</f>
        <v>#REF!</v>
      </c>
      <c r="BC172" s="47" t="e">
        <f>VLOOKUP($AB172,#REF!,3,0)*(+AY172+AZ172)</f>
        <v>#REF!</v>
      </c>
      <c r="BE172" s="47"/>
      <c r="BH172" s="47" t="e">
        <f t="shared" ref="BH172" si="115">SUM(AY172:BG172)</f>
        <v>#REF!</v>
      </c>
      <c r="BM172" s="47" t="e">
        <f t="shared" ref="BM172" si="116">SUM(BH172:BL172)</f>
        <v>#REF!</v>
      </c>
      <c r="BN172" s="66"/>
      <c r="BO172" s="47" t="e">
        <f t="shared" ref="BO172" si="117">+BH172-BA172</f>
        <v>#REF!</v>
      </c>
      <c r="BP172" s="47"/>
      <c r="BR172" s="47" t="e">
        <f>VLOOKUP($AA172,#REF!,4,0)*(+BO172+BP172)</f>
        <v>#REF!</v>
      </c>
      <c r="BS172" s="47" t="e">
        <f>VLOOKUP($AB172,#REF!,4,0)*(+BO172+BP172)</f>
        <v>#REF!</v>
      </c>
      <c r="BV172" s="47"/>
      <c r="BW172" s="47"/>
      <c r="BX172" s="47"/>
      <c r="BY172" s="47" t="e">
        <f t="shared" ref="BY172" si="118">SUM(BO172:BX172)</f>
        <v>#REF!</v>
      </c>
      <c r="CD172" s="47" t="e">
        <f t="shared" ref="CD172" si="119">SUM(BY172:CC172)</f>
        <v>#REF!</v>
      </c>
      <c r="CE172" s="66"/>
      <c r="CF172" s="47" t="e">
        <f t="shared" ref="CF172" si="120">+BY172-BQ172</f>
        <v>#REF!</v>
      </c>
      <c r="CG172" s="47"/>
      <c r="CI172" s="47" t="e">
        <f>VLOOKUP($AA172,#REF!,5,0)*(+CF172+CG172)</f>
        <v>#REF!</v>
      </c>
      <c r="CJ172" s="47" t="e">
        <f>VLOOKUP($AB172,#REF!,5,0)*(+CF172+CG172)</f>
        <v>#REF!</v>
      </c>
      <c r="CM172" s="47"/>
      <c r="CO172" s="47" t="e">
        <f t="shared" ref="CO172" si="121">SUM(CF172:CN172)</f>
        <v>#REF!</v>
      </c>
      <c r="CT172" s="47" t="e">
        <f t="shared" ref="CT172" si="122">SUM(CO172:CS172)</f>
        <v>#REF!</v>
      </c>
      <c r="CU172" s="66"/>
      <c r="CV172" s="47" t="e">
        <f t="shared" ref="CV172" si="123">+CO172-CH172</f>
        <v>#REF!</v>
      </c>
      <c r="CW172" s="47"/>
      <c r="CY172" s="47" t="e">
        <f>VLOOKUP($AA172,#REF!,6,0)*(+CV172+CW172)</f>
        <v>#REF!</v>
      </c>
      <c r="CZ172" s="47" t="e">
        <f>VLOOKUP($AB172,#REF!,6,0)*(+CV172+CW172)</f>
        <v>#REF!</v>
      </c>
      <c r="DC172" s="47"/>
      <c r="DE172" s="47" t="e">
        <f t="shared" ref="DE172" si="124">SUM(CV172:DD172)</f>
        <v>#REF!</v>
      </c>
      <c r="DJ172" s="47" t="e">
        <f t="shared" ref="DJ172" si="125">SUM(DE172:DI172)</f>
        <v>#REF!</v>
      </c>
      <c r="DK172" s="66"/>
      <c r="DL172" s="47" t="e">
        <f t="shared" ref="DL172" si="126">+DE172-CX172</f>
        <v>#REF!</v>
      </c>
      <c r="DM172" s="47"/>
      <c r="DO172" s="47" t="e">
        <f>VLOOKUP($AA172,#REF!,7,0)*(+DL172+DM172)</f>
        <v>#REF!</v>
      </c>
      <c r="DP172" s="47" t="e">
        <f>VLOOKUP($AB172,#REF!,7,0)*(+DL172+DM172)</f>
        <v>#REF!</v>
      </c>
      <c r="DS172" s="47"/>
      <c r="DU172" s="47" t="e">
        <f t="shared" ref="DU172" si="127">SUM(DL172:DT172)</f>
        <v>#REF!</v>
      </c>
      <c r="DZ172" s="47" t="e">
        <f t="shared" ref="DZ172" si="128">SUM(DU172:DY172)</f>
        <v>#REF!</v>
      </c>
      <c r="EA172" s="66"/>
    </row>
    <row r="173" spans="1:131" x14ac:dyDescent="0.2">
      <c r="A173" s="38" t="s">
        <v>379</v>
      </c>
      <c r="B173" s="39" t="s">
        <v>145</v>
      </c>
      <c r="C173" s="39" t="s">
        <v>146</v>
      </c>
      <c r="D173" s="39"/>
      <c r="E173" s="40">
        <v>46197233</v>
      </c>
      <c r="F173" s="41">
        <v>-900000</v>
      </c>
      <c r="G173" s="41"/>
      <c r="H173" s="41"/>
      <c r="I173" s="41"/>
      <c r="J173" s="41"/>
      <c r="K173" s="51"/>
      <c r="L173" s="41"/>
      <c r="M173" s="41"/>
      <c r="N173" s="41">
        <v>-455000</v>
      </c>
      <c r="O173" s="41"/>
      <c r="P173" s="41"/>
      <c r="Q173" s="41"/>
      <c r="R173" s="41"/>
      <c r="S173" s="41"/>
      <c r="T173" s="42">
        <f t="shared" si="90"/>
        <v>44842233</v>
      </c>
      <c r="U173" s="43"/>
      <c r="V173" s="103">
        <v>44842233</v>
      </c>
      <c r="W173" s="143" t="s">
        <v>368</v>
      </c>
      <c r="X173" s="143">
        <v>12</v>
      </c>
      <c r="Y173" s="171" t="s">
        <v>423</v>
      </c>
      <c r="Z173" s="171" t="s">
        <v>146</v>
      </c>
      <c r="AA173" s="44" t="s">
        <v>146</v>
      </c>
      <c r="AB173" s="27" t="s">
        <v>146</v>
      </c>
      <c r="AC173" s="10"/>
      <c r="AD173" s="13">
        <v>896844.66</v>
      </c>
      <c r="AE173" s="10"/>
      <c r="AF173" s="10">
        <f>+T173*0.04</f>
        <v>1793689.32</v>
      </c>
      <c r="AG173" s="45"/>
      <c r="AH173" s="45"/>
      <c r="AI173" s="45"/>
      <c r="AJ173" s="41"/>
      <c r="AK173" s="45">
        <v>-1700000</v>
      </c>
      <c r="AL173" s="45">
        <v>-1800000</v>
      </c>
      <c r="AN173" s="128">
        <v>0</v>
      </c>
      <c r="AO173" s="45"/>
      <c r="AP173" s="46">
        <f t="shared" si="91"/>
        <v>44032766.979999997</v>
      </c>
      <c r="AQ173" s="47"/>
      <c r="AW173" s="48">
        <f t="shared" si="92"/>
        <v>44032766.979999997</v>
      </c>
      <c r="AX173" s="66"/>
      <c r="AY173" s="47">
        <f t="shared" si="93"/>
        <v>44032766.979999997</v>
      </c>
      <c r="AZ173" s="249"/>
      <c r="BB173" s="47" t="e">
        <f>VLOOKUP($AA173,#REF!,3,0)*(+AY173+AZ173)</f>
        <v>#REF!</v>
      </c>
      <c r="BC173" s="47" t="e">
        <f>VLOOKUP($AB173,#REF!,3,0)*(+AY173+AZ173)</f>
        <v>#REF!</v>
      </c>
      <c r="BE173" s="47"/>
      <c r="BF173" s="47"/>
      <c r="BH173" s="47" t="e">
        <f t="shared" si="75"/>
        <v>#REF!</v>
      </c>
      <c r="BM173" s="47" t="e">
        <f t="shared" si="76"/>
        <v>#REF!</v>
      </c>
      <c r="BN173" s="66"/>
      <c r="BO173" s="47" t="e">
        <f t="shared" si="94"/>
        <v>#REF!</v>
      </c>
      <c r="BP173" s="47"/>
      <c r="BR173" s="47" t="e">
        <f>VLOOKUP($AA173,#REF!,4,0)*(+BO173+BP173)</f>
        <v>#REF!</v>
      </c>
      <c r="BS173" s="47" t="e">
        <f>VLOOKUP($AB173,#REF!,4,0)*(+BO173+BP173)</f>
        <v>#REF!</v>
      </c>
      <c r="BV173" s="47"/>
      <c r="BW173" s="47"/>
      <c r="BX173" s="47"/>
      <c r="BY173" s="47" t="e">
        <f t="shared" si="89"/>
        <v>#REF!</v>
      </c>
      <c r="CD173" s="47" t="e">
        <f t="shared" si="78"/>
        <v>#REF!</v>
      </c>
      <c r="CE173" s="66"/>
      <c r="CF173" s="47" t="e">
        <f t="shared" si="95"/>
        <v>#REF!</v>
      </c>
      <c r="CG173" s="47"/>
      <c r="CI173" s="47" t="e">
        <f>VLOOKUP($AA173,#REF!,5,0)*(+CF173+CG173)</f>
        <v>#REF!</v>
      </c>
      <c r="CJ173" s="47" t="e">
        <f>VLOOKUP($AB173,#REF!,5,0)*(+CF173+CG173)</f>
        <v>#REF!</v>
      </c>
      <c r="CM173" s="47"/>
      <c r="CO173" s="47" t="e">
        <f t="shared" si="80"/>
        <v>#REF!</v>
      </c>
      <c r="CT173" s="47" t="e">
        <f t="shared" si="81"/>
        <v>#REF!</v>
      </c>
      <c r="CU173" s="66"/>
      <c r="CV173" s="47" t="e">
        <f t="shared" si="96"/>
        <v>#REF!</v>
      </c>
      <c r="CW173" s="47"/>
      <c r="CY173" s="47" t="e">
        <f>VLOOKUP($AA173,#REF!,6,0)*(+CV173+CW173)</f>
        <v>#REF!</v>
      </c>
      <c r="CZ173" s="47" t="e">
        <f>VLOOKUP($AB173,#REF!,6,0)*(+CV173+CW173)</f>
        <v>#REF!</v>
      </c>
      <c r="DC173" s="47"/>
      <c r="DE173" s="47" t="e">
        <f t="shared" si="83"/>
        <v>#REF!</v>
      </c>
      <c r="DJ173" s="47" t="e">
        <f t="shared" si="84"/>
        <v>#REF!</v>
      </c>
      <c r="DK173" s="66"/>
      <c r="DL173" s="47" t="e">
        <f t="shared" si="86"/>
        <v>#REF!</v>
      </c>
      <c r="DM173" s="47"/>
      <c r="DO173" s="47" t="e">
        <f>VLOOKUP($AA173,#REF!,7,0)*(+DL173+DM173)</f>
        <v>#REF!</v>
      </c>
      <c r="DP173" s="47" t="e">
        <f>VLOOKUP($AB173,#REF!,7,0)*(+DL173+DM173)</f>
        <v>#REF!</v>
      </c>
      <c r="DS173" s="47"/>
      <c r="DU173" s="47" t="e">
        <f t="shared" si="87"/>
        <v>#REF!</v>
      </c>
      <c r="DZ173" s="47" t="e">
        <f t="shared" si="88"/>
        <v>#REF!</v>
      </c>
      <c r="EA173" s="66"/>
    </row>
    <row r="174" spans="1:131" x14ac:dyDescent="0.2">
      <c r="A174" s="38" t="s">
        <v>379</v>
      </c>
      <c r="B174" s="39" t="s">
        <v>147</v>
      </c>
      <c r="C174" s="53" t="s">
        <v>148</v>
      </c>
      <c r="D174" s="54"/>
      <c r="E174" s="60">
        <v>1149500</v>
      </c>
      <c r="F174" s="41"/>
      <c r="G174" s="41"/>
      <c r="H174" s="41"/>
      <c r="I174" s="41"/>
      <c r="J174" s="41"/>
      <c r="K174" s="51"/>
      <c r="L174" s="41"/>
      <c r="M174" s="41"/>
      <c r="N174" s="41"/>
      <c r="O174" s="41"/>
      <c r="P174" s="41"/>
      <c r="Q174" s="41"/>
      <c r="R174" s="41"/>
      <c r="S174" s="41"/>
      <c r="T174" s="42">
        <f t="shared" si="90"/>
        <v>1149500</v>
      </c>
      <c r="U174" s="43"/>
      <c r="V174" s="103">
        <v>1149500</v>
      </c>
      <c r="W174" s="143" t="s">
        <v>368</v>
      </c>
      <c r="X174" s="143">
        <v>12</v>
      </c>
      <c r="Y174" s="171" t="s">
        <v>423</v>
      </c>
      <c r="Z174" s="171" t="s">
        <v>146</v>
      </c>
      <c r="AA174" s="44" t="s">
        <v>146</v>
      </c>
      <c r="AB174" s="27" t="s">
        <v>146</v>
      </c>
      <c r="AC174" s="10"/>
      <c r="AD174" s="13">
        <v>22990</v>
      </c>
      <c r="AE174" s="10"/>
      <c r="AF174" s="10">
        <f>+T174*0.04</f>
        <v>45980</v>
      </c>
      <c r="AG174" s="45"/>
      <c r="AH174" s="45"/>
      <c r="AI174" s="45"/>
      <c r="AJ174" s="41"/>
      <c r="AK174" s="45"/>
      <c r="AL174" s="45"/>
      <c r="AN174" s="128">
        <v>0</v>
      </c>
      <c r="AO174" s="45"/>
      <c r="AP174" s="46">
        <f t="shared" si="91"/>
        <v>1218470</v>
      </c>
      <c r="AQ174" s="47"/>
      <c r="AW174" s="48">
        <f t="shared" si="92"/>
        <v>1218470</v>
      </c>
      <c r="AX174" s="66"/>
      <c r="AY174" s="47">
        <f t="shared" si="93"/>
        <v>1218470</v>
      </c>
      <c r="AZ174" s="47"/>
      <c r="BB174" s="47" t="e">
        <f>VLOOKUP($AA174,#REF!,3,0)*(+AY174+AZ174)</f>
        <v>#REF!</v>
      </c>
      <c r="BC174" s="47" t="e">
        <f>VLOOKUP($AB174,#REF!,3,0)*(+AY174+AZ174)</f>
        <v>#REF!</v>
      </c>
      <c r="BE174" s="47"/>
      <c r="BH174" s="47" t="e">
        <f t="shared" si="75"/>
        <v>#REF!</v>
      </c>
      <c r="BM174" s="47" t="e">
        <f t="shared" si="76"/>
        <v>#REF!</v>
      </c>
      <c r="BN174" s="66"/>
      <c r="BO174" s="47" t="e">
        <f t="shared" si="94"/>
        <v>#REF!</v>
      </c>
      <c r="BP174" s="47"/>
      <c r="BR174" s="47" t="e">
        <f>VLOOKUP($AA174,#REF!,4,0)*(+BO174+BP174)</f>
        <v>#REF!</v>
      </c>
      <c r="BS174" s="47" t="e">
        <f>VLOOKUP($AB174,#REF!,4,0)*(+BO174+BP174)</f>
        <v>#REF!</v>
      </c>
      <c r="BV174" s="47"/>
      <c r="BW174" s="47"/>
      <c r="BX174" s="47"/>
      <c r="BY174" s="47" t="e">
        <f t="shared" si="89"/>
        <v>#REF!</v>
      </c>
      <c r="CD174" s="47" t="e">
        <f t="shared" si="78"/>
        <v>#REF!</v>
      </c>
      <c r="CE174" s="66"/>
      <c r="CF174" s="47" t="e">
        <f t="shared" si="95"/>
        <v>#REF!</v>
      </c>
      <c r="CG174" s="47"/>
      <c r="CI174" s="47" t="e">
        <f>VLOOKUP($AA174,#REF!,5,0)*(+CF174+CG174)</f>
        <v>#REF!</v>
      </c>
      <c r="CJ174" s="47" t="e">
        <f>VLOOKUP($AB174,#REF!,5,0)*(+CF174+CG174)</f>
        <v>#REF!</v>
      </c>
      <c r="CM174" s="47"/>
      <c r="CO174" s="47" t="e">
        <f t="shared" si="80"/>
        <v>#REF!</v>
      </c>
      <c r="CT174" s="47" t="e">
        <f t="shared" si="81"/>
        <v>#REF!</v>
      </c>
      <c r="CU174" s="66"/>
      <c r="CV174" s="47" t="e">
        <f t="shared" si="96"/>
        <v>#REF!</v>
      </c>
      <c r="CW174" s="47"/>
      <c r="CY174" s="47" t="e">
        <f>VLOOKUP($AA174,#REF!,6,0)*(+CV174+CW174)</f>
        <v>#REF!</v>
      </c>
      <c r="CZ174" s="47" t="e">
        <f>VLOOKUP($AB174,#REF!,6,0)*(+CV174+CW174)</f>
        <v>#REF!</v>
      </c>
      <c r="DC174" s="47"/>
      <c r="DE174" s="47" t="e">
        <f t="shared" si="83"/>
        <v>#REF!</v>
      </c>
      <c r="DJ174" s="47" t="e">
        <f t="shared" si="84"/>
        <v>#REF!</v>
      </c>
      <c r="DK174" s="66"/>
      <c r="DL174" s="47" t="e">
        <f t="shared" si="86"/>
        <v>#REF!</v>
      </c>
      <c r="DM174" s="47"/>
      <c r="DO174" s="47" t="e">
        <f>VLOOKUP($AA174,#REF!,7,0)*(+DL174+DM174)</f>
        <v>#REF!</v>
      </c>
      <c r="DP174" s="47" t="e">
        <f>VLOOKUP($AB174,#REF!,7,0)*(+DL174+DM174)</f>
        <v>#REF!</v>
      </c>
      <c r="DS174" s="47"/>
      <c r="DU174" s="47" t="e">
        <f t="shared" si="87"/>
        <v>#REF!</v>
      </c>
      <c r="DZ174" s="47" t="e">
        <f t="shared" si="88"/>
        <v>#REF!</v>
      </c>
      <c r="EA174" s="66"/>
    </row>
    <row r="175" spans="1:131" x14ac:dyDescent="0.2">
      <c r="A175" s="38" t="s">
        <v>379</v>
      </c>
      <c r="B175" s="39" t="s">
        <v>149</v>
      </c>
      <c r="C175" s="53" t="s">
        <v>150</v>
      </c>
      <c r="D175" s="54"/>
      <c r="E175" s="60">
        <v>245261</v>
      </c>
      <c r="F175" s="41"/>
      <c r="G175" s="41"/>
      <c r="H175" s="41"/>
      <c r="I175" s="41"/>
      <c r="J175" s="41"/>
      <c r="K175" s="51"/>
      <c r="L175" s="41"/>
      <c r="M175" s="41"/>
      <c r="N175" s="41"/>
      <c r="O175" s="41"/>
      <c r="P175" s="41"/>
      <c r="Q175" s="41"/>
      <c r="R175" s="41"/>
      <c r="S175" s="41"/>
      <c r="T175" s="42">
        <f t="shared" si="90"/>
        <v>245261</v>
      </c>
      <c r="U175" s="43"/>
      <c r="V175" s="103">
        <v>245261</v>
      </c>
      <c r="W175" s="143" t="s">
        <v>368</v>
      </c>
      <c r="X175" s="143">
        <v>12</v>
      </c>
      <c r="Y175" s="171" t="s">
        <v>423</v>
      </c>
      <c r="Z175" s="171" t="s">
        <v>146</v>
      </c>
      <c r="AA175" s="44" t="s">
        <v>146</v>
      </c>
      <c r="AB175" s="27" t="s">
        <v>146</v>
      </c>
      <c r="AC175" s="10"/>
      <c r="AD175" s="13">
        <v>4905.22</v>
      </c>
      <c r="AE175" s="10"/>
      <c r="AF175" s="10">
        <f>+T175*0.04</f>
        <v>9810.44</v>
      </c>
      <c r="AG175" s="45"/>
      <c r="AH175" s="45"/>
      <c r="AI175" s="45"/>
      <c r="AJ175" s="41"/>
      <c r="AK175" s="45"/>
      <c r="AL175" s="45"/>
      <c r="AN175" s="128">
        <v>0</v>
      </c>
      <c r="AO175" s="45"/>
      <c r="AP175" s="46">
        <f t="shared" si="91"/>
        <v>259976.66</v>
      </c>
      <c r="AQ175" s="47"/>
      <c r="AW175" s="48">
        <f t="shared" si="92"/>
        <v>259976.66</v>
      </c>
      <c r="AX175" s="66"/>
      <c r="AY175" s="47">
        <f t="shared" si="93"/>
        <v>259976.66</v>
      </c>
      <c r="AZ175" s="47"/>
      <c r="BB175" s="47" t="e">
        <f>VLOOKUP($AA175,#REF!,3,0)*(+AY175+AZ175)</f>
        <v>#REF!</v>
      </c>
      <c r="BC175" s="47" t="e">
        <f>VLOOKUP($AB175,#REF!,3,0)*(+AY175+AZ175)</f>
        <v>#REF!</v>
      </c>
      <c r="BE175" s="47"/>
      <c r="BH175" s="47" t="e">
        <f t="shared" si="75"/>
        <v>#REF!</v>
      </c>
      <c r="BM175" s="47" t="e">
        <f t="shared" si="76"/>
        <v>#REF!</v>
      </c>
      <c r="BN175" s="66"/>
      <c r="BO175" s="47" t="e">
        <f t="shared" si="94"/>
        <v>#REF!</v>
      </c>
      <c r="BP175" s="47"/>
      <c r="BR175" s="47" t="e">
        <f>VLOOKUP($AA175,#REF!,4,0)*(+BO175+BP175)</f>
        <v>#REF!</v>
      </c>
      <c r="BS175" s="47" t="e">
        <f>VLOOKUP($AB175,#REF!,4,0)*(+BO175+BP175)</f>
        <v>#REF!</v>
      </c>
      <c r="BV175" s="47"/>
      <c r="BW175" s="47"/>
      <c r="BX175" s="47"/>
      <c r="BY175" s="47" t="e">
        <f t="shared" si="89"/>
        <v>#REF!</v>
      </c>
      <c r="CD175" s="47" t="e">
        <f t="shared" si="78"/>
        <v>#REF!</v>
      </c>
      <c r="CE175" s="66"/>
      <c r="CF175" s="47" t="e">
        <f t="shared" si="95"/>
        <v>#REF!</v>
      </c>
      <c r="CG175" s="47"/>
      <c r="CI175" s="47" t="e">
        <f>VLOOKUP($AA175,#REF!,5,0)*(+CF175+CG175)</f>
        <v>#REF!</v>
      </c>
      <c r="CJ175" s="47" t="e">
        <f>VLOOKUP($AB175,#REF!,5,0)*(+CF175+CG175)</f>
        <v>#REF!</v>
      </c>
      <c r="CM175" s="47"/>
      <c r="CO175" s="47" t="e">
        <f t="shared" si="80"/>
        <v>#REF!</v>
      </c>
      <c r="CT175" s="47" t="e">
        <f t="shared" si="81"/>
        <v>#REF!</v>
      </c>
      <c r="CU175" s="66"/>
      <c r="CV175" s="47" t="e">
        <f t="shared" si="96"/>
        <v>#REF!</v>
      </c>
      <c r="CW175" s="47"/>
      <c r="CY175" s="47" t="e">
        <f>VLOOKUP($AA175,#REF!,6,0)*(+CV175+CW175)</f>
        <v>#REF!</v>
      </c>
      <c r="CZ175" s="47" t="e">
        <f>VLOOKUP($AB175,#REF!,6,0)*(+CV175+CW175)</f>
        <v>#REF!</v>
      </c>
      <c r="DC175" s="47"/>
      <c r="DE175" s="47" t="e">
        <f t="shared" si="83"/>
        <v>#REF!</v>
      </c>
      <c r="DJ175" s="47" t="e">
        <f t="shared" si="84"/>
        <v>#REF!</v>
      </c>
      <c r="DK175" s="66"/>
      <c r="DL175" s="47" t="e">
        <f t="shared" si="86"/>
        <v>#REF!</v>
      </c>
      <c r="DM175" s="47"/>
      <c r="DO175" s="47" t="e">
        <f>VLOOKUP($AA175,#REF!,7,0)*(+DL175+DM175)</f>
        <v>#REF!</v>
      </c>
      <c r="DP175" s="47" t="e">
        <f>VLOOKUP($AB175,#REF!,7,0)*(+DL175+DM175)</f>
        <v>#REF!</v>
      </c>
      <c r="DS175" s="47"/>
      <c r="DU175" s="47" t="e">
        <f t="shared" si="87"/>
        <v>#REF!</v>
      </c>
      <c r="DZ175" s="47" t="e">
        <f t="shared" si="88"/>
        <v>#REF!</v>
      </c>
      <c r="EA175" s="66"/>
    </row>
    <row r="176" spans="1:131" x14ac:dyDescent="0.2">
      <c r="A176" s="38" t="s">
        <v>379</v>
      </c>
      <c r="B176" s="39" t="s">
        <v>151</v>
      </c>
      <c r="C176" s="53" t="s">
        <v>152</v>
      </c>
      <c r="D176" s="54"/>
      <c r="E176" s="60">
        <v>353002</v>
      </c>
      <c r="F176" s="41"/>
      <c r="G176" s="41"/>
      <c r="H176" s="41"/>
      <c r="I176" s="41"/>
      <c r="J176" s="41"/>
      <c r="K176" s="51"/>
      <c r="L176" s="41"/>
      <c r="M176" s="41"/>
      <c r="N176" s="41"/>
      <c r="O176" s="41"/>
      <c r="P176" s="41"/>
      <c r="Q176" s="41"/>
      <c r="R176" s="41"/>
      <c r="S176" s="41"/>
      <c r="T176" s="42">
        <f t="shared" si="90"/>
        <v>353002</v>
      </c>
      <c r="U176" s="43"/>
      <c r="V176" s="103">
        <v>353002</v>
      </c>
      <c r="W176" s="143" t="s">
        <v>368</v>
      </c>
      <c r="X176" s="143">
        <v>12</v>
      </c>
      <c r="Y176" s="171" t="s">
        <v>423</v>
      </c>
      <c r="Z176" s="171" t="s">
        <v>146</v>
      </c>
      <c r="AA176" s="44" t="s">
        <v>146</v>
      </c>
      <c r="AB176" s="27" t="s">
        <v>146</v>
      </c>
      <c r="AC176" s="10"/>
      <c r="AD176" s="13">
        <v>7060.04</v>
      </c>
      <c r="AE176" s="10"/>
      <c r="AF176" s="10">
        <f>+T176*0.04</f>
        <v>14120.08</v>
      </c>
      <c r="AG176" s="45"/>
      <c r="AH176" s="45"/>
      <c r="AI176" s="45"/>
      <c r="AJ176" s="41"/>
      <c r="AK176" s="45"/>
      <c r="AL176" s="45"/>
      <c r="AN176" s="128">
        <v>0</v>
      </c>
      <c r="AO176" s="45"/>
      <c r="AP176" s="46">
        <f t="shared" ref="AP176:AP177" si="129">SUM(AC176:AO176)+V176</f>
        <v>374182.12</v>
      </c>
      <c r="AQ176" s="47"/>
      <c r="AW176" s="48">
        <f t="shared" ref="AW176:AW177" si="130">SUM(AP176:AV176)</f>
        <v>374182.12</v>
      </c>
      <c r="AX176" s="66"/>
      <c r="AY176" s="47">
        <f t="shared" si="93"/>
        <v>374182.12</v>
      </c>
      <c r="AZ176" s="47"/>
      <c r="BB176" s="47" t="e">
        <f>VLOOKUP($AA176,#REF!,3,0)*(+AY176+AZ176)</f>
        <v>#REF!</v>
      </c>
      <c r="BC176" s="47" t="e">
        <f>VLOOKUP($AB176,#REF!,3,0)*(+AY176+AZ176)</f>
        <v>#REF!</v>
      </c>
      <c r="BE176" s="47"/>
      <c r="BH176" s="47" t="e">
        <f t="shared" ref="BH176:BH177" si="131">SUM(AY176:BG176)</f>
        <v>#REF!</v>
      </c>
      <c r="BM176" s="47" t="e">
        <f t="shared" ref="BM176:BM178" si="132">SUM(BH176:BL176)</f>
        <v>#REF!</v>
      </c>
      <c r="BN176" s="66"/>
      <c r="BO176" s="47" t="e">
        <f t="shared" si="94"/>
        <v>#REF!</v>
      </c>
      <c r="BP176" s="47"/>
      <c r="BR176" s="47" t="e">
        <f>VLOOKUP($AA176,#REF!,4,0)*(+BO176+BP176)</f>
        <v>#REF!</v>
      </c>
      <c r="BS176" s="47" t="e">
        <f>VLOOKUP($AB176,#REF!,4,0)*(+BO176+BP176)</f>
        <v>#REF!</v>
      </c>
      <c r="BV176" s="47"/>
      <c r="BW176" s="47"/>
      <c r="BX176" s="47"/>
      <c r="BY176" s="47" t="e">
        <f t="shared" si="89"/>
        <v>#REF!</v>
      </c>
      <c r="CD176" s="47" t="e">
        <f t="shared" ref="CD176:CD178" si="133">SUM(BY176:CC176)</f>
        <v>#REF!</v>
      </c>
      <c r="CE176" s="66"/>
      <c r="CF176" s="47" t="e">
        <f t="shared" si="95"/>
        <v>#REF!</v>
      </c>
      <c r="CG176" s="47"/>
      <c r="CI176" s="47" t="e">
        <f>VLOOKUP($AA176,#REF!,5,0)*(+CF176+CG176)</f>
        <v>#REF!</v>
      </c>
      <c r="CJ176" s="47" t="e">
        <f>VLOOKUP($AB176,#REF!,5,0)*(+CF176+CG176)</f>
        <v>#REF!</v>
      </c>
      <c r="CM176" s="47"/>
      <c r="CO176" s="47" t="e">
        <f t="shared" ref="CO176:CO177" si="134">SUM(CF176:CN176)</f>
        <v>#REF!</v>
      </c>
      <c r="CT176" s="47" t="e">
        <f t="shared" ref="CT176:CT178" si="135">SUM(CO176:CS176)</f>
        <v>#REF!</v>
      </c>
      <c r="CU176" s="66"/>
      <c r="CV176" s="47" t="e">
        <f t="shared" si="96"/>
        <v>#REF!</v>
      </c>
      <c r="CW176" s="47"/>
      <c r="CY176" s="47" t="e">
        <f>VLOOKUP($AA176,#REF!,6,0)*(+CV176+CW176)</f>
        <v>#REF!</v>
      </c>
      <c r="CZ176" s="47" t="e">
        <f>VLOOKUP($AB176,#REF!,6,0)*(+CV176+CW176)</f>
        <v>#REF!</v>
      </c>
      <c r="DC176" s="47"/>
      <c r="DE176" s="47" t="e">
        <f t="shared" ref="DE176:DE177" si="136">SUM(CV176:DD176)</f>
        <v>#REF!</v>
      </c>
      <c r="DJ176" s="47" t="e">
        <f t="shared" ref="DJ176:DJ178" si="137">SUM(DE176:DI176)</f>
        <v>#REF!</v>
      </c>
      <c r="DK176" s="66"/>
      <c r="DL176" s="47" t="e">
        <f t="shared" si="86"/>
        <v>#REF!</v>
      </c>
      <c r="DM176" s="47"/>
      <c r="DO176" s="47" t="e">
        <f>VLOOKUP($AA176,#REF!,7,0)*(+DL176+DM176)</f>
        <v>#REF!</v>
      </c>
      <c r="DP176" s="47" t="e">
        <f>VLOOKUP($AB176,#REF!,7,0)*(+DL176+DM176)</f>
        <v>#REF!</v>
      </c>
      <c r="DS176" s="47"/>
      <c r="DU176" s="47" t="e">
        <f t="shared" si="87"/>
        <v>#REF!</v>
      </c>
      <c r="DZ176" s="47" t="e">
        <f t="shared" si="88"/>
        <v>#REF!</v>
      </c>
      <c r="EA176" s="66"/>
    </row>
    <row r="177" spans="1:131" x14ac:dyDescent="0.2">
      <c r="A177" s="38" t="s">
        <v>380</v>
      </c>
      <c r="B177" s="39" t="s">
        <v>262</v>
      </c>
      <c r="C177" s="53" t="s">
        <v>263</v>
      </c>
      <c r="D177" s="54"/>
      <c r="E177" s="60">
        <v>2936784</v>
      </c>
      <c r="F177" s="41"/>
      <c r="G177" s="41"/>
      <c r="H177" s="41"/>
      <c r="I177" s="41"/>
      <c r="J177" s="41"/>
      <c r="K177" s="51"/>
      <c r="L177" s="41"/>
      <c r="M177" s="41"/>
      <c r="N177" s="41"/>
      <c r="O177" s="41"/>
      <c r="P177" s="41"/>
      <c r="Q177" s="41"/>
      <c r="R177" s="41"/>
      <c r="S177" s="41"/>
      <c r="T177" s="42">
        <f t="shared" si="90"/>
        <v>2936784</v>
      </c>
      <c r="U177" s="43"/>
      <c r="V177" s="103">
        <v>2936784</v>
      </c>
      <c r="W177" s="143" t="s">
        <v>368</v>
      </c>
      <c r="X177" s="143">
        <v>13</v>
      </c>
      <c r="Y177" s="173" t="s">
        <v>425</v>
      </c>
      <c r="Z177" s="171" t="s">
        <v>432</v>
      </c>
      <c r="AA177" s="247" t="s">
        <v>532</v>
      </c>
      <c r="AB177" s="188" t="s">
        <v>460</v>
      </c>
      <c r="AC177" s="10"/>
      <c r="AD177" s="13">
        <v>88103.51999999999</v>
      </c>
      <c r="AE177" s="10"/>
      <c r="AF177" s="10"/>
      <c r="AG177" s="45"/>
      <c r="AH177" s="45"/>
      <c r="AI177" s="45"/>
      <c r="AJ177" s="41"/>
      <c r="AK177" s="45"/>
      <c r="AL177" s="45"/>
      <c r="AN177" s="128">
        <v>0</v>
      </c>
      <c r="AO177" s="45"/>
      <c r="AP177" s="46">
        <f t="shared" si="129"/>
        <v>3024887.52</v>
      </c>
      <c r="AQ177" s="47"/>
      <c r="AR177" s="54"/>
      <c r="AS177" s="54"/>
      <c r="AT177" s="54"/>
      <c r="AU177" s="54"/>
      <c r="AV177" s="54"/>
      <c r="AW177" s="48">
        <f t="shared" si="130"/>
        <v>3024887.52</v>
      </c>
      <c r="AX177" s="66"/>
      <c r="AY177" s="47">
        <f t="shared" si="93"/>
        <v>3024887.52</v>
      </c>
      <c r="AZ177" s="47"/>
      <c r="BB177" s="47" t="e">
        <f>VLOOKUP($AA177,#REF!,3,0)*(+AY177+AZ177)</f>
        <v>#REF!</v>
      </c>
      <c r="BC177" s="47" t="e">
        <f>VLOOKUP($AB177,#REF!,3,0)*(+AY177+AZ177)</f>
        <v>#REF!</v>
      </c>
      <c r="BD177" s="47"/>
      <c r="BE177" s="47"/>
      <c r="BH177" s="47" t="e">
        <f t="shared" si="131"/>
        <v>#REF!</v>
      </c>
      <c r="BK177" s="146"/>
      <c r="BM177" s="47" t="e">
        <f>SUM(BH177:BK177)</f>
        <v>#REF!</v>
      </c>
      <c r="BN177" s="66"/>
      <c r="BO177" s="47" t="e">
        <f t="shared" si="94"/>
        <v>#REF!</v>
      </c>
      <c r="BP177" s="47"/>
      <c r="BR177" s="47" t="e">
        <f>VLOOKUP($AA177,#REF!,4,0)*(+BO177+BP177)</f>
        <v>#REF!</v>
      </c>
      <c r="BS177" s="47" t="e">
        <f>VLOOKUP($AB177,#REF!,4,0)*(+BO177+BP177)</f>
        <v>#REF!</v>
      </c>
      <c r="BV177" s="47"/>
      <c r="BY177" s="47" t="e">
        <f t="shared" si="89"/>
        <v>#REF!</v>
      </c>
      <c r="CB177" s="146"/>
      <c r="CD177" s="47" t="e">
        <f>SUM(BY177:CB177)</f>
        <v>#REF!</v>
      </c>
      <c r="CE177" s="66"/>
      <c r="CF177" s="47" t="e">
        <f t="shared" si="95"/>
        <v>#REF!</v>
      </c>
      <c r="CG177" s="47"/>
      <c r="CI177" s="47" t="e">
        <f>VLOOKUP($AA177,#REF!,5,0)*(+CF177+CG177)</f>
        <v>#REF!</v>
      </c>
      <c r="CJ177" s="47" t="e">
        <f>VLOOKUP($AB177,#REF!,5,0)*(+CF177+CG177)</f>
        <v>#REF!</v>
      </c>
      <c r="CM177" s="47"/>
      <c r="CO177" s="47" t="e">
        <f t="shared" si="134"/>
        <v>#REF!</v>
      </c>
      <c r="CR177" s="146"/>
      <c r="CT177" s="47" t="e">
        <f>SUM(CO177:CR177)</f>
        <v>#REF!</v>
      </c>
      <c r="CU177" s="66"/>
      <c r="CV177" s="47" t="e">
        <f t="shared" si="96"/>
        <v>#REF!</v>
      </c>
      <c r="CW177" s="47"/>
      <c r="CY177" s="47" t="e">
        <f>VLOOKUP($AA177,#REF!,6,0)*(+CV177+CW177)</f>
        <v>#REF!</v>
      </c>
      <c r="CZ177" s="47" t="e">
        <f>VLOOKUP($AB177,#REF!,6,0)*(+CV177+CW177)</f>
        <v>#REF!</v>
      </c>
      <c r="DC177" s="47"/>
      <c r="DE177" s="47" t="e">
        <f t="shared" si="136"/>
        <v>#REF!</v>
      </c>
      <c r="DH177" s="47"/>
      <c r="DJ177" s="47" t="e">
        <f>SUM(DE177:DH177)</f>
        <v>#REF!</v>
      </c>
      <c r="DK177" s="66"/>
      <c r="DL177" s="47" t="e">
        <f t="shared" si="86"/>
        <v>#REF!</v>
      </c>
      <c r="DM177" s="47"/>
      <c r="DO177" s="47" t="e">
        <f>VLOOKUP($AA177,#REF!,7,0)*(+DL177+DM177)</f>
        <v>#REF!</v>
      </c>
      <c r="DP177" s="47" t="e">
        <f>VLOOKUP($AB177,#REF!,7,0)*(+DL177+DM177)</f>
        <v>#REF!</v>
      </c>
      <c r="DS177" s="47"/>
      <c r="DU177" s="47" t="e">
        <f t="shared" si="87"/>
        <v>#REF!</v>
      </c>
      <c r="DX177" s="47"/>
      <c r="DZ177" s="47" t="e">
        <f>SUM(DU177:DX177)</f>
        <v>#REF!</v>
      </c>
      <c r="EA177" s="66"/>
    </row>
    <row r="178" spans="1:131" x14ac:dyDescent="0.2">
      <c r="B178" s="39"/>
      <c r="C178" s="54"/>
      <c r="D178" s="54"/>
      <c r="E178" s="60"/>
      <c r="F178" s="41"/>
      <c r="G178" s="41"/>
      <c r="H178" s="41"/>
      <c r="I178" s="41"/>
      <c r="J178" s="41"/>
      <c r="K178" s="51"/>
      <c r="L178" s="41"/>
      <c r="M178" s="41"/>
      <c r="N178" s="41"/>
      <c r="O178" s="41"/>
      <c r="P178" s="41"/>
      <c r="Q178" s="41"/>
      <c r="R178" s="41"/>
      <c r="S178" s="41"/>
      <c r="T178" s="42"/>
      <c r="U178" s="43"/>
      <c r="V178" s="42"/>
      <c r="AA178" s="44"/>
      <c r="AB178" s="44"/>
      <c r="AC178" s="10"/>
      <c r="AD178" s="13"/>
      <c r="AE178" s="10"/>
      <c r="AF178" s="10"/>
      <c r="AG178" s="45"/>
      <c r="AH178" s="45"/>
      <c r="AI178" s="45"/>
      <c r="AJ178" s="41"/>
      <c r="AK178" s="45"/>
      <c r="AL178" s="45"/>
      <c r="AM178" s="38"/>
      <c r="AN178" s="38"/>
      <c r="AO178" s="45"/>
      <c r="AP178" s="46"/>
      <c r="AQ178" s="47"/>
      <c r="AT178" s="55"/>
      <c r="AU178" s="55"/>
      <c r="AW178" s="48"/>
      <c r="AX178" s="66"/>
      <c r="BM178" s="47">
        <f t="shared" si="132"/>
        <v>0</v>
      </c>
      <c r="BN178" s="66"/>
      <c r="CD178" s="47">
        <f t="shared" si="133"/>
        <v>0</v>
      </c>
      <c r="CE178" s="66"/>
      <c r="CT178" s="47">
        <f t="shared" si="135"/>
        <v>0</v>
      </c>
      <c r="CU178" s="66"/>
      <c r="DJ178" s="47">
        <f t="shared" si="137"/>
        <v>0</v>
      </c>
      <c r="DK178" s="66"/>
      <c r="DZ178" s="47">
        <f t="shared" si="88"/>
        <v>0</v>
      </c>
      <c r="EA178" s="66"/>
    </row>
    <row r="179" spans="1:131" x14ac:dyDescent="0.2">
      <c r="B179" s="61"/>
      <c r="C179" s="62"/>
      <c r="D179" s="63"/>
      <c r="E179" s="64">
        <f t="shared" ref="E179:V179" si="138">SUM(E6:E177)</f>
        <v>381324714</v>
      </c>
      <c r="F179" s="65">
        <f t="shared" si="138"/>
        <v>-5042692</v>
      </c>
      <c r="G179" s="65">
        <f t="shared" si="138"/>
        <v>0</v>
      </c>
      <c r="H179" s="65">
        <f t="shared" si="138"/>
        <v>4330692</v>
      </c>
      <c r="I179" s="65">
        <f t="shared" si="138"/>
        <v>-6225593</v>
      </c>
      <c r="J179" s="65">
        <f t="shared" si="138"/>
        <v>-33094406</v>
      </c>
      <c r="K179" s="108">
        <f t="shared" si="138"/>
        <v>-13732000</v>
      </c>
      <c r="L179" s="65">
        <f t="shared" si="138"/>
        <v>0</v>
      </c>
      <c r="M179" s="65">
        <f t="shared" si="138"/>
        <v>0</v>
      </c>
      <c r="N179" s="65">
        <f t="shared" si="138"/>
        <v>-455000</v>
      </c>
      <c r="O179" s="65">
        <f t="shared" si="138"/>
        <v>8684846</v>
      </c>
      <c r="P179" s="65">
        <f t="shared" si="138"/>
        <v>0</v>
      </c>
      <c r="Q179" s="65">
        <f t="shared" si="138"/>
        <v>-2863000</v>
      </c>
      <c r="R179" s="65">
        <f t="shared" si="138"/>
        <v>-2992000</v>
      </c>
      <c r="S179" s="65">
        <f t="shared" si="138"/>
        <v>-5841237.1219512187</v>
      </c>
      <c r="T179" s="65">
        <f t="shared" si="138"/>
        <v>324094323.87804878</v>
      </c>
      <c r="U179" s="65">
        <f t="shared" si="138"/>
        <v>400000</v>
      </c>
      <c r="V179" s="65">
        <f t="shared" si="138"/>
        <v>327879359.87804884</v>
      </c>
      <c r="W179" s="66"/>
      <c r="X179" s="66"/>
      <c r="Y179" s="66"/>
      <c r="Z179" s="66"/>
      <c r="AA179" s="67"/>
      <c r="AB179" s="67"/>
      <c r="AC179" s="17">
        <f t="shared" ref="AC179:AP179" si="139">SUM(AC6:AC177)</f>
        <v>5816554.1951219514</v>
      </c>
      <c r="AD179" s="65">
        <f t="shared" si="139"/>
        <v>8069062.6530000055</v>
      </c>
      <c r="AE179" s="17">
        <f t="shared" si="139"/>
        <v>900000</v>
      </c>
      <c r="AF179" s="17">
        <f t="shared" si="139"/>
        <v>7413944.8400000008</v>
      </c>
      <c r="AG179" s="46">
        <f t="shared" si="139"/>
        <v>2200000</v>
      </c>
      <c r="AH179" s="46">
        <f t="shared" si="139"/>
        <v>2992000</v>
      </c>
      <c r="AI179" s="46">
        <f t="shared" si="139"/>
        <v>-9759390.795121951</v>
      </c>
      <c r="AJ179" s="46">
        <f t="shared" si="139"/>
        <v>4500000</v>
      </c>
      <c r="AK179" s="46">
        <f t="shared" si="139"/>
        <v>-5300000</v>
      </c>
      <c r="AL179" s="46">
        <f t="shared" si="139"/>
        <v>-5000945</v>
      </c>
      <c r="AM179" s="46">
        <f t="shared" si="139"/>
        <v>-3385036</v>
      </c>
      <c r="AN179" s="46">
        <f t="shared" si="139"/>
        <v>-1132000</v>
      </c>
      <c r="AO179" s="134">
        <f t="shared" si="139"/>
        <v>-811740</v>
      </c>
      <c r="AP179" s="46">
        <f t="shared" si="139"/>
        <v>334381809.77104878</v>
      </c>
      <c r="AQ179" s="47"/>
      <c r="AR179" s="46">
        <f t="shared" ref="AR179:AW179" si="140">SUM(AR6:AR177)</f>
        <v>2400000</v>
      </c>
      <c r="AS179" s="46">
        <f t="shared" si="140"/>
        <v>4600000</v>
      </c>
      <c r="AT179" s="46">
        <f t="shared" si="140"/>
        <v>-565666</v>
      </c>
      <c r="AU179" s="46">
        <f t="shared" si="140"/>
        <v>1500000</v>
      </c>
      <c r="AV179" s="46">
        <f t="shared" si="140"/>
        <v>0</v>
      </c>
      <c r="AW179" s="147">
        <f t="shared" si="140"/>
        <v>342316143.77104878</v>
      </c>
      <c r="AX179" s="66"/>
      <c r="AY179" s="47">
        <f t="shared" ref="AY179:BM179" si="141">SUM(AY6:AY178)</f>
        <v>328565255.57592678</v>
      </c>
      <c r="AZ179" s="47">
        <f t="shared" si="141"/>
        <v>6665140</v>
      </c>
      <c r="BA179" s="47">
        <f t="shared" si="141"/>
        <v>4950514.4362888411</v>
      </c>
      <c r="BB179" s="47" t="e">
        <f t="shared" si="141"/>
        <v>#REF!</v>
      </c>
      <c r="BC179" s="47" t="e">
        <f t="shared" si="141"/>
        <v>#REF!</v>
      </c>
      <c r="BD179" s="47" t="e">
        <f t="shared" si="141"/>
        <v>#REF!</v>
      </c>
      <c r="BE179" s="47">
        <f t="shared" si="141"/>
        <v>0</v>
      </c>
      <c r="BF179" s="47">
        <f t="shared" si="141"/>
        <v>0</v>
      </c>
      <c r="BG179" s="47">
        <f t="shared" si="141"/>
        <v>0</v>
      </c>
      <c r="BH179" s="47" t="e">
        <f t="shared" si="141"/>
        <v>#REF!</v>
      </c>
      <c r="BI179" s="47" t="e">
        <f t="shared" si="141"/>
        <v>#REF!</v>
      </c>
      <c r="BJ179" s="47">
        <f t="shared" si="141"/>
        <v>0</v>
      </c>
      <c r="BK179" s="47">
        <f t="shared" si="141"/>
        <v>0</v>
      </c>
      <c r="BL179" s="47">
        <f t="shared" si="141"/>
        <v>0</v>
      </c>
      <c r="BM179" s="47" t="e">
        <f t="shared" si="141"/>
        <v>#REF!</v>
      </c>
      <c r="BN179" s="66"/>
      <c r="BO179" s="47" t="e">
        <f t="shared" ref="BO179:CD179" si="142">SUM(BO6:BO178)</f>
        <v>#REF!</v>
      </c>
      <c r="BP179" s="47">
        <f t="shared" si="142"/>
        <v>0</v>
      </c>
      <c r="BQ179" s="47" t="e">
        <f t="shared" si="142"/>
        <v>#REF!</v>
      </c>
      <c r="BR179" s="47" t="e">
        <f t="shared" si="142"/>
        <v>#REF!</v>
      </c>
      <c r="BS179" s="47" t="e">
        <f t="shared" si="142"/>
        <v>#REF!</v>
      </c>
      <c r="BT179" s="47" t="e">
        <f t="shared" si="142"/>
        <v>#REF!</v>
      </c>
      <c r="BU179" s="47">
        <f t="shared" si="142"/>
        <v>0</v>
      </c>
      <c r="BV179" s="47">
        <f t="shared" si="142"/>
        <v>0</v>
      </c>
      <c r="BW179" s="47">
        <f t="shared" si="142"/>
        <v>0</v>
      </c>
      <c r="BX179" s="47" t="e">
        <f t="shared" si="142"/>
        <v>#REF!</v>
      </c>
      <c r="BY179" s="47" t="e">
        <f t="shared" si="142"/>
        <v>#REF!</v>
      </c>
      <c r="BZ179" s="47" t="e">
        <f t="shared" si="142"/>
        <v>#REF!</v>
      </c>
      <c r="CA179" s="47">
        <f t="shared" si="142"/>
        <v>0</v>
      </c>
      <c r="CB179" s="47">
        <f t="shared" si="142"/>
        <v>0</v>
      </c>
      <c r="CC179" s="47">
        <f t="shared" si="142"/>
        <v>0</v>
      </c>
      <c r="CD179" s="47" t="e">
        <f t="shared" si="142"/>
        <v>#REF!</v>
      </c>
      <c r="CE179" s="66"/>
      <c r="CF179" s="47" t="e">
        <f t="shared" ref="CF179:CT179" si="143">SUM(CF6:CF178)</f>
        <v>#REF!</v>
      </c>
      <c r="CG179" s="47">
        <f t="shared" si="143"/>
        <v>0</v>
      </c>
      <c r="CH179" s="47" t="e">
        <f t="shared" si="143"/>
        <v>#REF!</v>
      </c>
      <c r="CI179" s="47" t="e">
        <f t="shared" si="143"/>
        <v>#REF!</v>
      </c>
      <c r="CJ179" s="47" t="e">
        <f t="shared" si="143"/>
        <v>#REF!</v>
      </c>
      <c r="CK179" s="47" t="e">
        <f t="shared" si="143"/>
        <v>#REF!</v>
      </c>
      <c r="CL179" s="47">
        <f t="shared" si="143"/>
        <v>0</v>
      </c>
      <c r="CM179" s="47">
        <f t="shared" si="143"/>
        <v>0</v>
      </c>
      <c r="CN179" s="47">
        <f t="shared" si="143"/>
        <v>0</v>
      </c>
      <c r="CO179" s="47" t="e">
        <f t="shared" si="143"/>
        <v>#REF!</v>
      </c>
      <c r="CP179" s="47" t="e">
        <f t="shared" si="143"/>
        <v>#REF!</v>
      </c>
      <c r="CQ179" s="47">
        <f t="shared" si="143"/>
        <v>0</v>
      </c>
      <c r="CR179" s="47">
        <f t="shared" si="143"/>
        <v>0</v>
      </c>
      <c r="CS179" s="47">
        <f t="shared" si="143"/>
        <v>0</v>
      </c>
      <c r="CT179" s="47" t="e">
        <f t="shared" si="143"/>
        <v>#REF!</v>
      </c>
      <c r="CU179" s="66"/>
      <c r="CV179" s="47" t="e">
        <f t="shared" ref="CV179:DJ179" si="144">SUM(CV6:CV178)</f>
        <v>#REF!</v>
      </c>
      <c r="CW179" s="47">
        <f t="shared" si="144"/>
        <v>0</v>
      </c>
      <c r="CX179" s="47" t="e">
        <f t="shared" si="144"/>
        <v>#REF!</v>
      </c>
      <c r="CY179" s="47" t="e">
        <f t="shared" si="144"/>
        <v>#REF!</v>
      </c>
      <c r="CZ179" s="47" t="e">
        <f t="shared" si="144"/>
        <v>#REF!</v>
      </c>
      <c r="DA179" s="47" t="e">
        <f t="shared" si="144"/>
        <v>#REF!</v>
      </c>
      <c r="DB179" s="47">
        <f t="shared" si="144"/>
        <v>0</v>
      </c>
      <c r="DC179" s="47">
        <f t="shared" si="144"/>
        <v>0</v>
      </c>
      <c r="DD179" s="47">
        <f t="shared" si="144"/>
        <v>0</v>
      </c>
      <c r="DE179" s="47" t="e">
        <f t="shared" si="144"/>
        <v>#REF!</v>
      </c>
      <c r="DF179" s="47" t="e">
        <f t="shared" si="144"/>
        <v>#REF!</v>
      </c>
      <c r="DG179" s="47">
        <f t="shared" si="144"/>
        <v>0</v>
      </c>
      <c r="DH179" s="47">
        <f t="shared" si="144"/>
        <v>0</v>
      </c>
      <c r="DI179" s="47">
        <f t="shared" si="144"/>
        <v>0</v>
      </c>
      <c r="DJ179" s="47" t="e">
        <f t="shared" si="144"/>
        <v>#REF!</v>
      </c>
      <c r="DK179" s="66"/>
      <c r="DL179" s="47" t="e">
        <f t="shared" ref="DL179:DZ179" si="145">SUM(DL6:DL178)</f>
        <v>#REF!</v>
      </c>
      <c r="DM179" s="47">
        <f t="shared" si="145"/>
        <v>0</v>
      </c>
      <c r="DN179" s="47" t="e">
        <f t="shared" si="145"/>
        <v>#REF!</v>
      </c>
      <c r="DO179" s="47" t="e">
        <f t="shared" si="145"/>
        <v>#REF!</v>
      </c>
      <c r="DP179" s="47" t="e">
        <f t="shared" si="145"/>
        <v>#REF!</v>
      </c>
      <c r="DQ179" s="47" t="e">
        <f t="shared" si="145"/>
        <v>#REF!</v>
      </c>
      <c r="DR179" s="47">
        <f t="shared" si="145"/>
        <v>0</v>
      </c>
      <c r="DS179" s="47">
        <f t="shared" si="145"/>
        <v>0</v>
      </c>
      <c r="DT179" s="47">
        <f t="shared" si="145"/>
        <v>0</v>
      </c>
      <c r="DU179" s="47" t="e">
        <f t="shared" si="145"/>
        <v>#REF!</v>
      </c>
      <c r="DV179" s="47" t="e">
        <f t="shared" si="145"/>
        <v>#REF!</v>
      </c>
      <c r="DW179" s="47">
        <f t="shared" si="145"/>
        <v>0</v>
      </c>
      <c r="DX179" s="47">
        <f t="shared" si="145"/>
        <v>0</v>
      </c>
      <c r="DY179" s="47">
        <f t="shared" si="145"/>
        <v>0</v>
      </c>
      <c r="DZ179" s="47" t="e">
        <f t="shared" si="145"/>
        <v>#REF!</v>
      </c>
      <c r="EA179" s="66"/>
    </row>
    <row r="180" spans="1:131" x14ac:dyDescent="0.2">
      <c r="B180" s="54"/>
      <c r="C180" s="54"/>
      <c r="D180" s="54"/>
      <c r="E180" s="57"/>
      <c r="F180" s="54"/>
      <c r="G180" s="54"/>
      <c r="H180" s="54"/>
      <c r="I180" s="54"/>
      <c r="J180" s="54"/>
      <c r="K180" s="107"/>
      <c r="L180" s="54"/>
      <c r="M180" s="54"/>
      <c r="N180" s="54"/>
      <c r="O180" s="54"/>
      <c r="P180" s="54"/>
      <c r="Q180" s="54"/>
      <c r="R180" s="54"/>
      <c r="S180" s="54"/>
      <c r="T180" s="98"/>
      <c r="U180" s="98"/>
      <c r="V180" s="98"/>
      <c r="W180" s="54"/>
      <c r="X180" s="54"/>
      <c r="Y180" s="54"/>
      <c r="Z180" s="54"/>
      <c r="AA180" s="44"/>
      <c r="AB180" s="44"/>
      <c r="AC180" s="10"/>
      <c r="AD180" s="13"/>
      <c r="AE180" s="10"/>
      <c r="AF180" s="10"/>
      <c r="AG180" s="45"/>
      <c r="AH180" s="45"/>
      <c r="AI180" s="45"/>
      <c r="AJ180" s="53"/>
      <c r="AK180" s="45"/>
      <c r="AL180" s="45"/>
      <c r="AM180" s="38"/>
      <c r="AN180" s="38"/>
      <c r="AO180" s="45"/>
      <c r="AP180" s="46">
        <f>SUM(AC180:AL180)+V180</f>
        <v>0</v>
      </c>
      <c r="AQ180" s="47"/>
      <c r="AW180" s="48">
        <f t="shared" ref="AW180:AW184" si="146">SUM(AP180:AV180)</f>
        <v>0</v>
      </c>
      <c r="AX180" s="66"/>
      <c r="BN180" s="66"/>
      <c r="CE180" s="66"/>
      <c r="CU180" s="66"/>
      <c r="DK180" s="66"/>
      <c r="EA180" s="66"/>
    </row>
    <row r="181" spans="1:131" x14ac:dyDescent="0.2">
      <c r="A181" s="38" t="s">
        <v>380</v>
      </c>
      <c r="C181" s="38" t="s">
        <v>266</v>
      </c>
      <c r="E181" s="33">
        <v>6000</v>
      </c>
      <c r="F181" s="33"/>
      <c r="G181" s="33"/>
      <c r="H181" s="33"/>
      <c r="I181" s="33"/>
      <c r="J181" s="33"/>
      <c r="K181" s="105"/>
      <c r="L181" s="33"/>
      <c r="M181" s="58">
        <v>-3000</v>
      </c>
      <c r="N181" s="33"/>
      <c r="O181" s="33"/>
      <c r="P181" s="33"/>
      <c r="Q181" s="33"/>
      <c r="R181" s="33"/>
      <c r="S181" s="33"/>
      <c r="T181" s="42">
        <f t="shared" ref="T181:T184" si="147">SUM(E181:S181)</f>
        <v>3000</v>
      </c>
      <c r="U181" s="43"/>
      <c r="V181" s="137">
        <v>3000</v>
      </c>
      <c r="W181" s="143" t="s">
        <v>368</v>
      </c>
      <c r="X181" s="143">
        <v>11</v>
      </c>
      <c r="Y181" s="171" t="s">
        <v>426</v>
      </c>
      <c r="Z181" s="171" t="s">
        <v>342</v>
      </c>
      <c r="AA181" s="44" t="s">
        <v>290</v>
      </c>
      <c r="AB181" s="188" t="s">
        <v>513</v>
      </c>
      <c r="AC181" s="10"/>
      <c r="AD181" s="13"/>
      <c r="AE181" s="10"/>
      <c r="AF181" s="10"/>
      <c r="AG181" s="45"/>
      <c r="AH181" s="45"/>
      <c r="AI181" s="45"/>
      <c r="AJ181" s="68"/>
      <c r="AK181" s="45"/>
      <c r="AL181" s="45"/>
      <c r="AM181" s="38"/>
      <c r="AN181" s="38"/>
      <c r="AO181" s="45"/>
      <c r="AP181" s="46">
        <f>SUM(AC181:AL181)+V181</f>
        <v>3000</v>
      </c>
      <c r="AQ181" s="47"/>
      <c r="AW181" s="48">
        <f t="shared" si="146"/>
        <v>3000</v>
      </c>
      <c r="AX181" s="66"/>
      <c r="AY181" s="47">
        <f t="shared" ref="AY181:AY184" si="148">+AP181-AC181</f>
        <v>3000</v>
      </c>
      <c r="AZ181" s="47"/>
      <c r="BB181" s="47" t="e">
        <f>VLOOKUP($AA181,#REF!,3,0)*(+AY181+AZ181)</f>
        <v>#REF!</v>
      </c>
      <c r="BC181" s="47" t="e">
        <f>VLOOKUP($AB181,#REF!,3,0)*(+AY181+AZ181)</f>
        <v>#REF!</v>
      </c>
      <c r="BG181" s="47"/>
      <c r="BH181" s="47" t="e">
        <f t="shared" ref="BH181:BH184" si="149">SUM(AY181:BG181)</f>
        <v>#REF!</v>
      </c>
      <c r="BK181" s="55"/>
      <c r="BM181" s="47" t="e">
        <f t="shared" ref="BM181:BM184" si="150">SUM(BH181:BL181)</f>
        <v>#REF!</v>
      </c>
      <c r="BN181" s="66"/>
      <c r="BO181" s="47" t="e">
        <f t="shared" ref="BO181:BO184" si="151">+BH181-BA181</f>
        <v>#REF!</v>
      </c>
      <c r="BP181" s="47"/>
      <c r="BR181" s="47" t="e">
        <f>VLOOKUP($AA181,#REF!,4,0)*(+BO181+BP181)</f>
        <v>#REF!</v>
      </c>
      <c r="BS181" s="47" t="e">
        <f>VLOOKUP($AB181,#REF!,4,0)*(+BO181+BP181)</f>
        <v>#REF!</v>
      </c>
      <c r="BW181" s="47"/>
      <c r="BY181" s="47" t="e">
        <f t="shared" ref="BY181:BY184" si="152">SUM(BO181:BX181)</f>
        <v>#REF!</v>
      </c>
      <c r="CB181" s="55"/>
      <c r="CD181" s="47" t="e">
        <f t="shared" ref="CD181:CD184" si="153">SUM(BY181:CC181)</f>
        <v>#REF!</v>
      </c>
      <c r="CE181" s="66"/>
      <c r="CF181" s="47" t="e">
        <f t="shared" ref="CF181:CF184" si="154">+BY181-BQ181</f>
        <v>#REF!</v>
      </c>
      <c r="CG181" s="47"/>
      <c r="CI181" s="47" t="e">
        <f>VLOOKUP($AA181,#REF!,5,0)*(+CF181+CG181)</f>
        <v>#REF!</v>
      </c>
      <c r="CJ181" s="47" t="e">
        <f>VLOOKUP($AB181,#REF!,5,0)*(+CF181+CG181)</f>
        <v>#REF!</v>
      </c>
      <c r="CN181" s="47"/>
      <c r="CO181" s="47" t="e">
        <f t="shared" ref="CO181:CO184" si="155">SUM(CF181:CN181)</f>
        <v>#REF!</v>
      </c>
      <c r="CR181" s="55"/>
      <c r="CT181" s="47" t="e">
        <f t="shared" ref="CT181:CT184" si="156">SUM(CO181:CS181)</f>
        <v>#REF!</v>
      </c>
      <c r="CU181" s="66"/>
      <c r="CV181" s="47" t="e">
        <f t="shared" ref="CV181:CV184" si="157">+CO181-CH181</f>
        <v>#REF!</v>
      </c>
      <c r="CW181" s="47"/>
      <c r="CY181" s="47" t="e">
        <f>VLOOKUP($AA181,#REF!,6,0)*(+CV181+CW181)</f>
        <v>#REF!</v>
      </c>
      <c r="CZ181" s="47" t="e">
        <f>VLOOKUP($AB181,#REF!,6,0)*(+CV181+CW181)</f>
        <v>#REF!</v>
      </c>
      <c r="DD181" s="47"/>
      <c r="DE181" s="47" t="e">
        <f t="shared" ref="DE181:DE184" si="158">SUM(CV181:DD181)</f>
        <v>#REF!</v>
      </c>
      <c r="DH181" s="47"/>
      <c r="DJ181" s="47" t="e">
        <f t="shared" ref="DJ181:DJ184" si="159">SUM(DE181:DI181)</f>
        <v>#REF!</v>
      </c>
      <c r="DK181" s="66"/>
      <c r="DL181" s="47" t="e">
        <f t="shared" ref="DL181:DL184" si="160">+DE181-CX181</f>
        <v>#REF!</v>
      </c>
      <c r="DM181" s="47"/>
      <c r="DO181" s="47" t="e">
        <f>VLOOKUP($AA181,#REF!,7,0)*(+DL181+DM181)</f>
        <v>#REF!</v>
      </c>
      <c r="DP181" s="47" t="e">
        <f>VLOOKUP($AB181,#REF!,7,0)*(+DL181+DM181)</f>
        <v>#REF!</v>
      </c>
      <c r="DT181" s="47"/>
      <c r="DU181" s="47" t="e">
        <f t="shared" ref="DU181:DU184" si="161">SUM(DL181:DT181)</f>
        <v>#REF!</v>
      </c>
      <c r="DX181" s="47"/>
      <c r="DY181" s="55"/>
      <c r="DZ181" s="47" t="e">
        <f t="shared" ref="DZ181:DZ184" si="162">SUM(DU181:DY181)</f>
        <v>#REF!</v>
      </c>
      <c r="EA181" s="66"/>
    </row>
    <row r="182" spans="1:131" x14ac:dyDescent="0.2">
      <c r="A182" s="38" t="s">
        <v>380</v>
      </c>
      <c r="B182" s="54"/>
      <c r="C182" s="54" t="s">
        <v>267</v>
      </c>
      <c r="D182" s="54"/>
      <c r="E182" s="57"/>
      <c r="F182" s="57"/>
      <c r="G182" s="57"/>
      <c r="H182" s="57"/>
      <c r="I182" s="57">
        <v>3000</v>
      </c>
      <c r="J182" s="57"/>
      <c r="K182" s="96"/>
      <c r="L182" s="57"/>
      <c r="M182" s="58"/>
      <c r="N182" s="57"/>
      <c r="O182" s="57"/>
      <c r="P182" s="57"/>
      <c r="Q182" s="57"/>
      <c r="R182" s="57"/>
      <c r="S182" s="57"/>
      <c r="T182" s="42">
        <f t="shared" si="147"/>
        <v>3000</v>
      </c>
      <c r="U182" s="43"/>
      <c r="V182" s="137">
        <v>3000</v>
      </c>
      <c r="W182" s="143" t="s">
        <v>368</v>
      </c>
      <c r="X182" s="143">
        <v>11</v>
      </c>
      <c r="Y182" s="171" t="s">
        <v>426</v>
      </c>
      <c r="Z182" s="171" t="s">
        <v>342</v>
      </c>
      <c r="AA182" s="44" t="s">
        <v>290</v>
      </c>
      <c r="AB182" s="188" t="s">
        <v>513</v>
      </c>
      <c r="AC182" s="10"/>
      <c r="AD182" s="13"/>
      <c r="AE182" s="10"/>
      <c r="AF182" s="10"/>
      <c r="AG182" s="45"/>
      <c r="AH182" s="45"/>
      <c r="AI182" s="45"/>
      <c r="AJ182" s="68"/>
      <c r="AK182" s="45"/>
      <c r="AL182" s="45"/>
      <c r="AM182" s="38"/>
      <c r="AN182" s="38"/>
      <c r="AO182" s="45">
        <v>-3000</v>
      </c>
      <c r="AP182" s="46">
        <f>SUM(AC182:AO182)+V182</f>
        <v>0</v>
      </c>
      <c r="AQ182" s="55"/>
      <c r="AW182" s="48">
        <f t="shared" si="146"/>
        <v>0</v>
      </c>
      <c r="AX182" s="66"/>
      <c r="AY182" s="47">
        <f t="shared" si="148"/>
        <v>0</v>
      </c>
      <c r="AZ182" s="47"/>
      <c r="BB182" s="47" t="e">
        <f>VLOOKUP($AA182,#REF!,3,0)*(+AY182+AZ182)</f>
        <v>#REF!</v>
      </c>
      <c r="BC182" s="47" t="e">
        <f>VLOOKUP($AB182,#REF!,3,0)*(+AY182+AZ182)</f>
        <v>#REF!</v>
      </c>
      <c r="BG182" s="146">
        <v>-11174589</v>
      </c>
      <c r="BH182" s="47" t="e">
        <f>SUM(AY182:BG182)</f>
        <v>#REF!</v>
      </c>
      <c r="BK182" s="146">
        <v>144872</v>
      </c>
      <c r="BM182" s="47" t="e">
        <f t="shared" si="150"/>
        <v>#REF!</v>
      </c>
      <c r="BN182" s="66"/>
      <c r="BO182" s="47" t="e">
        <f t="shared" si="151"/>
        <v>#REF!</v>
      </c>
      <c r="BP182" s="47"/>
      <c r="BR182" s="47" t="e">
        <f>VLOOKUP($AA182,#REF!,4,0)*(+BO182+BP182)</f>
        <v>#REF!</v>
      </c>
      <c r="BS182" s="47" t="e">
        <f>VLOOKUP($AB182,#REF!,4,0)*(+BO182+BP182)</f>
        <v>#REF!</v>
      </c>
      <c r="BW182" s="55">
        <v>-10543161</v>
      </c>
      <c r="BX182" s="55"/>
      <c r="BY182" s="47" t="e">
        <f t="shared" si="152"/>
        <v>#REF!</v>
      </c>
      <c r="CB182" s="47">
        <v>3426847</v>
      </c>
      <c r="CD182" s="47" t="e">
        <f t="shared" si="153"/>
        <v>#REF!</v>
      </c>
      <c r="CE182" s="66"/>
      <c r="CF182" s="47" t="e">
        <f t="shared" si="154"/>
        <v>#REF!</v>
      </c>
      <c r="CG182" s="47"/>
      <c r="CI182" s="47" t="e">
        <f>VLOOKUP($AA182,#REF!,5,0)*(+CF182+CG182)</f>
        <v>#REF!</v>
      </c>
      <c r="CJ182" s="47" t="e">
        <f>VLOOKUP($AB182,#REF!,5,0)*(+CF182+CG182)</f>
        <v>#REF!</v>
      </c>
      <c r="CM182" s="47"/>
      <c r="CN182" s="146">
        <v>-4549677</v>
      </c>
      <c r="CO182" s="47" t="e">
        <f t="shared" si="155"/>
        <v>#REF!</v>
      </c>
      <c r="CR182" s="146">
        <v>3485102</v>
      </c>
      <c r="CT182" s="47" t="e">
        <f t="shared" si="156"/>
        <v>#REF!</v>
      </c>
      <c r="CU182" s="66"/>
      <c r="CV182" s="47" t="e">
        <f t="shared" si="157"/>
        <v>#REF!</v>
      </c>
      <c r="CW182" s="47"/>
      <c r="CY182" s="47" t="e">
        <f>VLOOKUP($AA182,#REF!,6,0)*(+CV182+CW182)</f>
        <v>#REF!</v>
      </c>
      <c r="CZ182" s="47" t="e">
        <f>VLOOKUP($AB182,#REF!,6,0)*(+CV182+CW182)</f>
        <v>#REF!</v>
      </c>
      <c r="DD182" s="146">
        <v>-6105573</v>
      </c>
      <c r="DE182" s="47" t="e">
        <f t="shared" si="158"/>
        <v>#REF!</v>
      </c>
      <c r="DH182" s="146">
        <v>3420351</v>
      </c>
      <c r="DJ182" s="47" t="e">
        <f t="shared" si="159"/>
        <v>#REF!</v>
      </c>
      <c r="DK182" s="66"/>
      <c r="DL182" s="47" t="e">
        <f t="shared" si="160"/>
        <v>#REF!</v>
      </c>
      <c r="DM182" s="47"/>
      <c r="DO182" s="47" t="e">
        <f>VLOOKUP($AA182,#REF!,7,0)*(+DL182+DM182)</f>
        <v>#REF!</v>
      </c>
      <c r="DP182" s="47" t="e">
        <f>VLOOKUP($AB182,#REF!,7,0)*(+DL182+DM182)</f>
        <v>#REF!</v>
      </c>
      <c r="DT182" s="55">
        <v>-6572929</v>
      </c>
      <c r="DU182" s="47" t="e">
        <f t="shared" si="161"/>
        <v>#REF!</v>
      </c>
      <c r="DX182" s="38">
        <v>3478496</v>
      </c>
      <c r="DZ182" s="47" t="e">
        <f t="shared" si="162"/>
        <v>#REF!</v>
      </c>
      <c r="EA182" s="66"/>
    </row>
    <row r="183" spans="1:131" ht="25.5" x14ac:dyDescent="0.2">
      <c r="A183" s="38" t="s">
        <v>380</v>
      </c>
      <c r="C183" s="37" t="s">
        <v>268</v>
      </c>
      <c r="D183" s="37"/>
      <c r="F183" s="33"/>
      <c r="G183" s="33"/>
      <c r="H183" s="33"/>
      <c r="I183" s="33"/>
      <c r="J183" s="33">
        <v>9000</v>
      </c>
      <c r="K183" s="105"/>
      <c r="L183" s="33"/>
      <c r="M183" s="58"/>
      <c r="N183" s="33"/>
      <c r="O183" s="33"/>
      <c r="P183" s="33"/>
      <c r="Q183" s="33"/>
      <c r="R183" s="33"/>
      <c r="S183" s="33"/>
      <c r="T183" s="42">
        <f t="shared" si="147"/>
        <v>9000</v>
      </c>
      <c r="U183" s="43"/>
      <c r="V183" s="139">
        <v>9000</v>
      </c>
      <c r="W183" s="143" t="s">
        <v>368</v>
      </c>
      <c r="X183" s="143">
        <v>11</v>
      </c>
      <c r="Y183" s="171" t="s">
        <v>426</v>
      </c>
      <c r="Z183" s="171" t="s">
        <v>342</v>
      </c>
      <c r="AA183" s="44" t="s">
        <v>290</v>
      </c>
      <c r="AB183" s="188" t="s">
        <v>513</v>
      </c>
      <c r="AC183" s="10"/>
      <c r="AD183" s="13"/>
      <c r="AE183" s="10"/>
      <c r="AF183" s="10"/>
      <c r="AG183" s="45"/>
      <c r="AH183" s="45"/>
      <c r="AI183" s="45"/>
      <c r="AJ183" s="68"/>
      <c r="AK183" s="45"/>
      <c r="AL183" s="45"/>
      <c r="AM183" s="54"/>
      <c r="AN183" s="54"/>
      <c r="AO183" s="45"/>
      <c r="AP183" s="46">
        <f>SUM(AC183:AL183)+V183</f>
        <v>9000</v>
      </c>
      <c r="AQ183" s="55"/>
      <c r="AR183" s="54"/>
      <c r="AS183" s="54"/>
      <c r="AT183" s="54"/>
      <c r="AU183" s="54"/>
      <c r="AV183" s="54"/>
      <c r="AW183" s="99">
        <f t="shared" si="146"/>
        <v>9000</v>
      </c>
      <c r="AX183" s="66"/>
      <c r="AY183" s="47">
        <f t="shared" si="148"/>
        <v>9000</v>
      </c>
      <c r="AZ183" s="47"/>
      <c r="BB183" s="47" t="e">
        <f>VLOOKUP($AA183,#REF!,3,0)*(+AY183+AZ183)</f>
        <v>#REF!</v>
      </c>
      <c r="BC183" s="47" t="e">
        <f>VLOOKUP($AB183,#REF!,3,0)*(+AY183+AZ183)</f>
        <v>#REF!</v>
      </c>
      <c r="BH183" s="47" t="e">
        <f t="shared" si="149"/>
        <v>#REF!</v>
      </c>
      <c r="BM183" s="47" t="e">
        <f t="shared" si="150"/>
        <v>#REF!</v>
      </c>
      <c r="BN183" s="66"/>
      <c r="BO183" s="47" t="e">
        <f t="shared" si="151"/>
        <v>#REF!</v>
      </c>
      <c r="BP183" s="47"/>
      <c r="BR183" s="47" t="e">
        <f>VLOOKUP($AA183,#REF!,4,0)*(+BO183+BP183)</f>
        <v>#REF!</v>
      </c>
      <c r="BS183" s="47" t="e">
        <f>VLOOKUP($AB183,#REF!,4,0)*(+BO183+BP183)</f>
        <v>#REF!</v>
      </c>
      <c r="BY183" s="47" t="e">
        <f t="shared" si="152"/>
        <v>#REF!</v>
      </c>
      <c r="CD183" s="47" t="e">
        <f t="shared" si="153"/>
        <v>#REF!</v>
      </c>
      <c r="CE183" s="66"/>
      <c r="CF183" s="47" t="e">
        <f t="shared" si="154"/>
        <v>#REF!</v>
      </c>
      <c r="CG183" s="47"/>
      <c r="CI183" s="47" t="e">
        <f>VLOOKUP($AA183,#REF!,5,0)*(+CF183+CG183)</f>
        <v>#REF!</v>
      </c>
      <c r="CJ183" s="47" t="e">
        <f>VLOOKUP($AB183,#REF!,5,0)*(+CF183+CG183)</f>
        <v>#REF!</v>
      </c>
      <c r="CO183" s="47" t="e">
        <f t="shared" si="155"/>
        <v>#REF!</v>
      </c>
      <c r="CT183" s="47" t="e">
        <f t="shared" si="156"/>
        <v>#REF!</v>
      </c>
      <c r="CU183" s="66"/>
      <c r="CV183" s="47" t="e">
        <f t="shared" si="157"/>
        <v>#REF!</v>
      </c>
      <c r="CW183" s="47"/>
      <c r="CY183" s="47" t="e">
        <f>VLOOKUP($AA183,#REF!,6,0)*(+CV183+CW183)</f>
        <v>#REF!</v>
      </c>
      <c r="CZ183" s="47" t="e">
        <f>VLOOKUP($AB183,#REF!,6,0)*(+CV183+CW183)</f>
        <v>#REF!</v>
      </c>
      <c r="DE183" s="47" t="e">
        <f t="shared" si="158"/>
        <v>#REF!</v>
      </c>
      <c r="DJ183" s="47" t="e">
        <f t="shared" si="159"/>
        <v>#REF!</v>
      </c>
      <c r="DK183" s="66"/>
      <c r="DL183" s="47" t="e">
        <f t="shared" si="160"/>
        <v>#REF!</v>
      </c>
      <c r="DM183" s="47"/>
      <c r="DO183" s="47" t="e">
        <f>VLOOKUP($AA183,#REF!,7,0)*(+DL183+DM183)</f>
        <v>#REF!</v>
      </c>
      <c r="DP183" s="47" t="e">
        <f>VLOOKUP($AB183,#REF!,7,0)*(+DL183+DM183)</f>
        <v>#REF!</v>
      </c>
      <c r="DU183" s="47" t="e">
        <f t="shared" si="161"/>
        <v>#REF!</v>
      </c>
      <c r="DZ183" s="47" t="e">
        <f t="shared" si="162"/>
        <v>#REF!</v>
      </c>
      <c r="EA183" s="66"/>
    </row>
    <row r="184" spans="1:131" s="54" customFormat="1" x14ac:dyDescent="0.2">
      <c r="A184" s="38" t="s">
        <v>381</v>
      </c>
      <c r="C184" s="107" t="s">
        <v>382</v>
      </c>
      <c r="E184" s="57"/>
      <c r="F184" s="58"/>
      <c r="G184" s="58"/>
      <c r="H184" s="58"/>
      <c r="I184" s="58"/>
      <c r="J184" s="58"/>
      <c r="K184" s="102"/>
      <c r="L184" s="58"/>
      <c r="M184" s="58"/>
      <c r="N184" s="58"/>
      <c r="O184" s="58">
        <v>1158000</v>
      </c>
      <c r="P184" s="58"/>
      <c r="Q184" s="58"/>
      <c r="R184" s="58"/>
      <c r="S184" s="58"/>
      <c r="T184" s="42">
        <f t="shared" si="147"/>
        <v>1158000</v>
      </c>
      <c r="U184" s="43"/>
      <c r="V184" s="136">
        <v>1158000</v>
      </c>
      <c r="W184" s="143" t="s">
        <v>368</v>
      </c>
      <c r="X184" s="143">
        <v>16</v>
      </c>
      <c r="Y184" s="171" t="s">
        <v>426</v>
      </c>
      <c r="Z184" s="171" t="s">
        <v>342</v>
      </c>
      <c r="AA184" s="44" t="s">
        <v>290</v>
      </c>
      <c r="AB184" s="188" t="s">
        <v>513</v>
      </c>
      <c r="AC184" s="10">
        <v>24682.926829268225</v>
      </c>
      <c r="AD184" s="13">
        <v>68057</v>
      </c>
      <c r="AE184" s="10"/>
      <c r="AF184" s="10"/>
      <c r="AG184" s="45"/>
      <c r="AH184" s="45"/>
      <c r="AI184" s="45"/>
      <c r="AJ184" s="41"/>
      <c r="AK184" s="45"/>
      <c r="AL184" s="45"/>
      <c r="AO184" s="45"/>
      <c r="AP184" s="46">
        <f>SUM(AC184:AL184)+V184</f>
        <v>1250739.9268292682</v>
      </c>
      <c r="AQ184" s="47"/>
      <c r="AW184" s="48">
        <f t="shared" si="146"/>
        <v>1250739.9268292682</v>
      </c>
      <c r="AX184" s="66"/>
      <c r="AY184" s="47">
        <f t="shared" si="148"/>
        <v>1226057</v>
      </c>
      <c r="AZ184" s="47"/>
      <c r="BB184" s="47" t="e">
        <f>VLOOKUP($AA184,#REF!,3,0)*(+AY184+AZ184)</f>
        <v>#REF!</v>
      </c>
      <c r="BC184" s="47" t="e">
        <f>VLOOKUP($AB184,#REF!,3,0)*(+AY184+AZ184)</f>
        <v>#REF!</v>
      </c>
      <c r="BH184" s="47" t="e">
        <f t="shared" si="149"/>
        <v>#REF!</v>
      </c>
      <c r="BM184" s="47" t="e">
        <f t="shared" si="150"/>
        <v>#REF!</v>
      </c>
      <c r="BN184" s="66"/>
      <c r="BO184" s="47" t="e">
        <f t="shared" si="151"/>
        <v>#REF!</v>
      </c>
      <c r="BP184" s="47"/>
      <c r="BQ184" s="38"/>
      <c r="BR184" s="47" t="e">
        <f>VLOOKUP($AA184,#REF!,4,0)*(+BO184+BP184)</f>
        <v>#REF!</v>
      </c>
      <c r="BS184" s="47" t="e">
        <f>VLOOKUP($AB184,#REF!,4,0)*(+BO184+BP184)</f>
        <v>#REF!</v>
      </c>
      <c r="BT184" s="38"/>
      <c r="BV184" s="38"/>
      <c r="BW184" s="38"/>
      <c r="BX184" s="38"/>
      <c r="BY184" s="47" t="e">
        <f t="shared" si="152"/>
        <v>#REF!</v>
      </c>
      <c r="BZ184" s="38"/>
      <c r="CA184" s="38"/>
      <c r="CB184" s="38"/>
      <c r="CC184" s="38"/>
      <c r="CD184" s="47" t="e">
        <f t="shared" si="153"/>
        <v>#REF!</v>
      </c>
      <c r="CE184" s="66"/>
      <c r="CF184" s="47" t="e">
        <f t="shared" si="154"/>
        <v>#REF!</v>
      </c>
      <c r="CG184" s="47"/>
      <c r="CH184" s="38"/>
      <c r="CI184" s="47" t="e">
        <f>VLOOKUP($AA184,#REF!,5,0)*(+CF184+CG184)</f>
        <v>#REF!</v>
      </c>
      <c r="CJ184" s="47" t="e">
        <f>VLOOKUP($AB184,#REF!,5,0)*(+CF184+CG184)</f>
        <v>#REF!</v>
      </c>
      <c r="CK184" s="38"/>
      <c r="CM184" s="38"/>
      <c r="CN184" s="38"/>
      <c r="CO184" s="47" t="e">
        <f t="shared" si="155"/>
        <v>#REF!</v>
      </c>
      <c r="CP184" s="38"/>
      <c r="CQ184" s="38"/>
      <c r="CR184" s="38"/>
      <c r="CS184" s="38"/>
      <c r="CT184" s="47" t="e">
        <f t="shared" si="156"/>
        <v>#REF!</v>
      </c>
      <c r="CU184" s="66"/>
      <c r="CV184" s="47" t="e">
        <f t="shared" si="157"/>
        <v>#REF!</v>
      </c>
      <c r="CW184" s="47"/>
      <c r="CX184" s="38"/>
      <c r="CY184" s="47" t="e">
        <f>VLOOKUP($AA184,#REF!,6,0)*(+CV184+CW184)</f>
        <v>#REF!</v>
      </c>
      <c r="CZ184" s="47" t="e">
        <f>VLOOKUP($AB184,#REF!,6,0)*(+CV184+CW184)</f>
        <v>#REF!</v>
      </c>
      <c r="DA184" s="38"/>
      <c r="DC184" s="38"/>
      <c r="DD184" s="38"/>
      <c r="DE184" s="47" t="e">
        <f t="shared" si="158"/>
        <v>#REF!</v>
      </c>
      <c r="DF184" s="38"/>
      <c r="DG184" s="38"/>
      <c r="DH184" s="38"/>
      <c r="DI184" s="38"/>
      <c r="DJ184" s="47" t="e">
        <f t="shared" si="159"/>
        <v>#REF!</v>
      </c>
      <c r="DK184" s="66"/>
      <c r="DL184" s="47" t="e">
        <f t="shared" si="160"/>
        <v>#REF!</v>
      </c>
      <c r="DM184" s="47"/>
      <c r="DN184" s="38"/>
      <c r="DO184" s="47" t="e">
        <f>VLOOKUP($AA184,#REF!,7,0)*(+DL184+DM184)</f>
        <v>#REF!</v>
      </c>
      <c r="DP184" s="47" t="e">
        <f>VLOOKUP($AB184,#REF!,7,0)*(+DL184+DM184)</f>
        <v>#REF!</v>
      </c>
      <c r="DQ184" s="38"/>
      <c r="DS184" s="38"/>
      <c r="DT184" s="38"/>
      <c r="DU184" s="47" t="e">
        <f t="shared" si="161"/>
        <v>#REF!</v>
      </c>
      <c r="DV184" s="38"/>
      <c r="DW184" s="38"/>
      <c r="DX184" s="38"/>
      <c r="DY184" s="38"/>
      <c r="DZ184" s="47" t="e">
        <f t="shared" si="162"/>
        <v>#REF!</v>
      </c>
      <c r="EA184" s="66"/>
    </row>
    <row r="185" spans="1:131" s="54" customFormat="1" x14ac:dyDescent="0.2">
      <c r="E185" s="58"/>
      <c r="F185" s="58"/>
      <c r="G185" s="58"/>
      <c r="H185" s="58"/>
      <c r="I185" s="58"/>
      <c r="J185" s="58"/>
      <c r="K185" s="102"/>
      <c r="L185" s="58"/>
      <c r="M185" s="58"/>
      <c r="N185" s="58"/>
      <c r="O185" s="58"/>
      <c r="P185" s="58"/>
      <c r="Q185" s="58"/>
      <c r="R185" s="58"/>
      <c r="S185" s="58"/>
      <c r="T185" s="42"/>
      <c r="U185" s="43"/>
      <c r="V185" s="42"/>
      <c r="AA185" s="44"/>
      <c r="AB185" s="44"/>
      <c r="AC185" s="10"/>
      <c r="AD185" s="13"/>
      <c r="AE185" s="10"/>
      <c r="AF185" s="10"/>
      <c r="AG185" s="45"/>
      <c r="AH185" s="45"/>
      <c r="AI185" s="45"/>
      <c r="AJ185" s="41"/>
      <c r="AK185" s="45"/>
      <c r="AL185" s="45"/>
      <c r="AO185" s="45"/>
      <c r="AP185" s="46"/>
      <c r="AQ185" s="47"/>
      <c r="AW185" s="48"/>
      <c r="AX185" s="66"/>
      <c r="BN185" s="66"/>
      <c r="CE185" s="66"/>
      <c r="CU185" s="66"/>
      <c r="DK185" s="66"/>
      <c r="EA185" s="66"/>
    </row>
    <row r="186" spans="1:131" s="54" customFormat="1" x14ac:dyDescent="0.2">
      <c r="B186" s="176" t="s">
        <v>440</v>
      </c>
      <c r="C186" s="170"/>
      <c r="D186" s="69"/>
      <c r="E186" s="70">
        <f t="shared" ref="E186:V186" si="163">SUM(E179:E185)</f>
        <v>381330714</v>
      </c>
      <c r="F186" s="71">
        <f t="shared" si="163"/>
        <v>-5042692</v>
      </c>
      <c r="G186" s="71">
        <f t="shared" si="163"/>
        <v>0</v>
      </c>
      <c r="H186" s="71">
        <f t="shared" si="163"/>
        <v>4330692</v>
      </c>
      <c r="I186" s="71">
        <f t="shared" si="163"/>
        <v>-6222593</v>
      </c>
      <c r="J186" s="71">
        <f t="shared" si="163"/>
        <v>-33085406</v>
      </c>
      <c r="K186" s="108">
        <f t="shared" si="163"/>
        <v>-13732000</v>
      </c>
      <c r="L186" s="71">
        <f t="shared" si="163"/>
        <v>0</v>
      </c>
      <c r="M186" s="71">
        <f t="shared" si="163"/>
        <v>-3000</v>
      </c>
      <c r="N186" s="71">
        <f t="shared" si="163"/>
        <v>-455000</v>
      </c>
      <c r="O186" s="71">
        <f t="shared" si="163"/>
        <v>9842846</v>
      </c>
      <c r="P186" s="65">
        <f t="shared" si="163"/>
        <v>0</v>
      </c>
      <c r="Q186" s="65">
        <f t="shared" si="163"/>
        <v>-2863000</v>
      </c>
      <c r="R186" s="65">
        <f t="shared" si="163"/>
        <v>-2992000</v>
      </c>
      <c r="S186" s="65">
        <f t="shared" si="163"/>
        <v>-5841237.1219512187</v>
      </c>
      <c r="T186" s="72">
        <f t="shared" si="163"/>
        <v>325267323.87804878</v>
      </c>
      <c r="U186" s="72">
        <f t="shared" si="163"/>
        <v>400000</v>
      </c>
      <c r="V186" s="72">
        <f t="shared" si="163"/>
        <v>329052359.87804884</v>
      </c>
      <c r="W186" s="73"/>
      <c r="X186" s="73"/>
      <c r="Y186" s="73"/>
      <c r="Z186" s="73"/>
      <c r="AA186" s="67"/>
      <c r="AB186" s="67"/>
      <c r="AC186" s="132">
        <f t="shared" ref="AC186:AM186" si="164">SUM(AC179:AC185)</f>
        <v>5841237.1219512196</v>
      </c>
      <c r="AD186" s="131">
        <f t="shared" si="164"/>
        <v>8137119.6530000055</v>
      </c>
      <c r="AE186" s="132">
        <f t="shared" si="164"/>
        <v>900000</v>
      </c>
      <c r="AF186" s="132">
        <f t="shared" si="164"/>
        <v>7413944.8400000008</v>
      </c>
      <c r="AG186" s="133">
        <f t="shared" si="164"/>
        <v>2200000</v>
      </c>
      <c r="AH186" s="65">
        <f t="shared" si="164"/>
        <v>2992000</v>
      </c>
      <c r="AI186" s="133">
        <f t="shared" si="164"/>
        <v>-9759390.795121951</v>
      </c>
      <c r="AJ186" s="133">
        <f t="shared" si="164"/>
        <v>4500000</v>
      </c>
      <c r="AK186" s="133">
        <f t="shared" si="164"/>
        <v>-5300000</v>
      </c>
      <c r="AL186" s="133">
        <f t="shared" si="164"/>
        <v>-5000945</v>
      </c>
      <c r="AM186" s="133">
        <f t="shared" si="164"/>
        <v>-3385036</v>
      </c>
      <c r="AN186" s="65"/>
      <c r="AO186" s="65"/>
      <c r="AP186" s="65">
        <f>SUM(AP179:AP185)</f>
        <v>335644549.69787806</v>
      </c>
      <c r="AQ186" s="47"/>
      <c r="AR186" s="65">
        <f t="shared" ref="AR186:AW186" si="165">SUM(AR179:AR185)</f>
        <v>2400000</v>
      </c>
      <c r="AS186" s="65">
        <f t="shared" si="165"/>
        <v>4600000</v>
      </c>
      <c r="AT186" s="65">
        <f t="shared" si="165"/>
        <v>-565666</v>
      </c>
      <c r="AU186" s="65">
        <f t="shared" si="165"/>
        <v>1500000</v>
      </c>
      <c r="AV186" s="65">
        <f t="shared" si="165"/>
        <v>0</v>
      </c>
      <c r="AW186" s="65">
        <f t="shared" si="165"/>
        <v>343578883.69787806</v>
      </c>
      <c r="AX186" s="66"/>
      <c r="AY186" s="55">
        <f t="shared" ref="AY186:BM186" si="166">SUM(AY179:AY184)</f>
        <v>329803312.57592678</v>
      </c>
      <c r="AZ186" s="55">
        <f t="shared" si="166"/>
        <v>6665140</v>
      </c>
      <c r="BA186" s="55">
        <f t="shared" si="166"/>
        <v>4950514.4362888411</v>
      </c>
      <c r="BB186" s="55" t="e">
        <f t="shared" si="166"/>
        <v>#REF!</v>
      </c>
      <c r="BC186" s="55" t="e">
        <f t="shared" si="166"/>
        <v>#REF!</v>
      </c>
      <c r="BD186" s="55" t="e">
        <f t="shared" si="166"/>
        <v>#REF!</v>
      </c>
      <c r="BE186" s="55">
        <f t="shared" si="166"/>
        <v>0</v>
      </c>
      <c r="BF186" s="55">
        <f t="shared" si="166"/>
        <v>0</v>
      </c>
      <c r="BG186" s="55">
        <f t="shared" si="166"/>
        <v>-11174589</v>
      </c>
      <c r="BH186" s="55" t="e">
        <f t="shared" si="166"/>
        <v>#REF!</v>
      </c>
      <c r="BI186" s="55" t="e">
        <f t="shared" si="166"/>
        <v>#REF!</v>
      </c>
      <c r="BJ186" s="55">
        <f t="shared" si="166"/>
        <v>0</v>
      </c>
      <c r="BK186" s="55">
        <f t="shared" si="166"/>
        <v>144872</v>
      </c>
      <c r="BL186" s="55">
        <f t="shared" si="166"/>
        <v>0</v>
      </c>
      <c r="BM186" s="55" t="e">
        <f t="shared" si="166"/>
        <v>#REF!</v>
      </c>
      <c r="BN186" s="66"/>
      <c r="BO186" s="55" t="e">
        <f t="shared" ref="BO186:CD186" si="167">SUM(BO179:BO184)</f>
        <v>#REF!</v>
      </c>
      <c r="BP186" s="55">
        <f t="shared" si="167"/>
        <v>0</v>
      </c>
      <c r="BQ186" s="55" t="e">
        <f t="shared" si="167"/>
        <v>#REF!</v>
      </c>
      <c r="BR186" s="55" t="e">
        <f t="shared" si="167"/>
        <v>#REF!</v>
      </c>
      <c r="BS186" s="55" t="e">
        <f t="shared" si="167"/>
        <v>#REF!</v>
      </c>
      <c r="BT186" s="55" t="e">
        <f t="shared" si="167"/>
        <v>#REF!</v>
      </c>
      <c r="BU186" s="55">
        <f t="shared" si="167"/>
        <v>0</v>
      </c>
      <c r="BV186" s="55">
        <f t="shared" si="167"/>
        <v>0</v>
      </c>
      <c r="BW186" s="55">
        <f t="shared" si="167"/>
        <v>-10543161</v>
      </c>
      <c r="BX186" s="55" t="e">
        <f t="shared" si="167"/>
        <v>#REF!</v>
      </c>
      <c r="BY186" s="55" t="e">
        <f t="shared" si="167"/>
        <v>#REF!</v>
      </c>
      <c r="BZ186" s="55" t="e">
        <f t="shared" si="167"/>
        <v>#REF!</v>
      </c>
      <c r="CA186" s="55">
        <f t="shared" si="167"/>
        <v>0</v>
      </c>
      <c r="CB186" s="55">
        <f t="shared" si="167"/>
        <v>3426847</v>
      </c>
      <c r="CC186" s="55">
        <f t="shared" si="167"/>
        <v>0</v>
      </c>
      <c r="CD186" s="55" t="e">
        <f t="shared" si="167"/>
        <v>#REF!</v>
      </c>
      <c r="CE186" s="66"/>
      <c r="CF186" s="55" t="e">
        <f t="shared" ref="CF186:CT186" si="168">SUM(CF179:CF184)</f>
        <v>#REF!</v>
      </c>
      <c r="CG186" s="55">
        <f t="shared" si="168"/>
        <v>0</v>
      </c>
      <c r="CH186" s="55" t="e">
        <f t="shared" si="168"/>
        <v>#REF!</v>
      </c>
      <c r="CI186" s="55" t="e">
        <f t="shared" si="168"/>
        <v>#REF!</v>
      </c>
      <c r="CJ186" s="55" t="e">
        <f t="shared" si="168"/>
        <v>#REF!</v>
      </c>
      <c r="CK186" s="55" t="e">
        <f t="shared" si="168"/>
        <v>#REF!</v>
      </c>
      <c r="CL186" s="55">
        <f t="shared" si="168"/>
        <v>0</v>
      </c>
      <c r="CM186" s="55">
        <f t="shared" si="168"/>
        <v>0</v>
      </c>
      <c r="CN186" s="55">
        <f t="shared" si="168"/>
        <v>-4549677</v>
      </c>
      <c r="CO186" s="55" t="e">
        <f t="shared" si="168"/>
        <v>#REF!</v>
      </c>
      <c r="CP186" s="55" t="e">
        <f t="shared" si="168"/>
        <v>#REF!</v>
      </c>
      <c r="CQ186" s="55">
        <f t="shared" si="168"/>
        <v>0</v>
      </c>
      <c r="CR186" s="55">
        <f t="shared" si="168"/>
        <v>3485102</v>
      </c>
      <c r="CS186" s="55">
        <f t="shared" si="168"/>
        <v>0</v>
      </c>
      <c r="CT186" s="55" t="e">
        <f t="shared" si="168"/>
        <v>#REF!</v>
      </c>
      <c r="CU186" s="66"/>
      <c r="CV186" s="55" t="e">
        <f t="shared" ref="CV186:DJ186" si="169">SUM(CV179:CV184)</f>
        <v>#REF!</v>
      </c>
      <c r="CW186" s="55">
        <f t="shared" si="169"/>
        <v>0</v>
      </c>
      <c r="CX186" s="55" t="e">
        <f t="shared" si="169"/>
        <v>#REF!</v>
      </c>
      <c r="CY186" s="55" t="e">
        <f t="shared" si="169"/>
        <v>#REF!</v>
      </c>
      <c r="CZ186" s="55" t="e">
        <f t="shared" si="169"/>
        <v>#REF!</v>
      </c>
      <c r="DA186" s="55" t="e">
        <f t="shared" si="169"/>
        <v>#REF!</v>
      </c>
      <c r="DB186" s="55">
        <f t="shared" si="169"/>
        <v>0</v>
      </c>
      <c r="DC186" s="55">
        <f t="shared" si="169"/>
        <v>0</v>
      </c>
      <c r="DD186" s="55">
        <f t="shared" si="169"/>
        <v>-6105573</v>
      </c>
      <c r="DE186" s="55" t="e">
        <f t="shared" si="169"/>
        <v>#REF!</v>
      </c>
      <c r="DF186" s="55" t="e">
        <f t="shared" si="169"/>
        <v>#REF!</v>
      </c>
      <c r="DG186" s="55">
        <f t="shared" si="169"/>
        <v>0</v>
      </c>
      <c r="DH186" s="55">
        <f t="shared" si="169"/>
        <v>3420351</v>
      </c>
      <c r="DI186" s="55">
        <f t="shared" si="169"/>
        <v>0</v>
      </c>
      <c r="DJ186" s="55" t="e">
        <f t="shared" si="169"/>
        <v>#REF!</v>
      </c>
      <c r="DK186" s="66"/>
      <c r="DL186" s="55" t="e">
        <f t="shared" ref="DL186:DZ186" si="170">SUM(DL179:DL184)</f>
        <v>#REF!</v>
      </c>
      <c r="DM186" s="55">
        <f t="shared" si="170"/>
        <v>0</v>
      </c>
      <c r="DN186" s="55" t="e">
        <f t="shared" si="170"/>
        <v>#REF!</v>
      </c>
      <c r="DO186" s="55" t="e">
        <f t="shared" si="170"/>
        <v>#REF!</v>
      </c>
      <c r="DP186" s="55" t="e">
        <f t="shared" si="170"/>
        <v>#REF!</v>
      </c>
      <c r="DQ186" s="55" t="e">
        <f t="shared" si="170"/>
        <v>#REF!</v>
      </c>
      <c r="DR186" s="55">
        <f t="shared" si="170"/>
        <v>0</v>
      </c>
      <c r="DS186" s="55">
        <f t="shared" si="170"/>
        <v>0</v>
      </c>
      <c r="DT186" s="55">
        <f t="shared" si="170"/>
        <v>-6572929</v>
      </c>
      <c r="DU186" s="55" t="e">
        <f t="shared" si="170"/>
        <v>#REF!</v>
      </c>
      <c r="DV186" s="55" t="e">
        <f t="shared" si="170"/>
        <v>#REF!</v>
      </c>
      <c r="DW186" s="55">
        <f t="shared" si="170"/>
        <v>0</v>
      </c>
      <c r="DX186" s="55">
        <f t="shared" si="170"/>
        <v>3478496</v>
      </c>
      <c r="DY186" s="55">
        <f t="shared" si="170"/>
        <v>0</v>
      </c>
      <c r="DZ186" s="55" t="e">
        <f t="shared" si="170"/>
        <v>#REF!</v>
      </c>
      <c r="EA186" s="66"/>
    </row>
    <row r="187" spans="1:131" s="54" customFormat="1" x14ac:dyDescent="0.2">
      <c r="E187" s="57"/>
      <c r="F187" s="58"/>
      <c r="G187" s="58"/>
      <c r="H187" s="58"/>
      <c r="I187" s="58"/>
      <c r="J187" s="58"/>
      <c r="K187" s="102"/>
      <c r="L187" s="58"/>
      <c r="M187" s="58"/>
      <c r="N187" s="58"/>
      <c r="O187" s="58"/>
      <c r="P187" s="58"/>
      <c r="Q187" s="58"/>
      <c r="R187" s="58"/>
      <c r="S187" s="58"/>
      <c r="T187" s="43"/>
      <c r="U187" s="43"/>
      <c r="V187" s="43"/>
      <c r="AA187" s="53"/>
      <c r="AB187" s="53"/>
      <c r="AC187" s="10"/>
      <c r="AD187" s="13"/>
      <c r="AE187" s="10"/>
      <c r="AF187" s="10"/>
      <c r="AG187" s="45"/>
      <c r="AH187" s="45"/>
      <c r="AI187" s="45"/>
      <c r="AJ187" s="41"/>
      <c r="AK187" s="45"/>
      <c r="AL187" s="45"/>
      <c r="AO187" s="45"/>
      <c r="AP187" s="46">
        <f>SUM(AC187:AO187)+V187</f>
        <v>0</v>
      </c>
      <c r="AQ187" s="47"/>
      <c r="AW187" s="48">
        <f t="shared" ref="AW187:AW197" si="171">SUM(AP187:AV187)</f>
        <v>0</v>
      </c>
      <c r="AX187" s="66"/>
      <c r="BN187" s="66"/>
      <c r="CE187" s="66"/>
      <c r="CU187" s="66"/>
      <c r="DK187" s="66"/>
      <c r="EA187" s="66"/>
    </row>
    <row r="188" spans="1:131" s="54" customFormat="1" x14ac:dyDescent="0.2">
      <c r="B188" s="236" t="s">
        <v>274</v>
      </c>
      <c r="C188" s="236"/>
      <c r="D188" s="58"/>
      <c r="E188" s="57"/>
      <c r="F188" s="58"/>
      <c r="G188" s="58"/>
      <c r="H188" s="58"/>
      <c r="I188" s="58"/>
      <c r="J188" s="58"/>
      <c r="K188" s="102"/>
      <c r="L188" s="58"/>
      <c r="M188" s="58"/>
      <c r="N188" s="58"/>
      <c r="O188" s="58"/>
      <c r="P188" s="58"/>
      <c r="Q188" s="58"/>
      <c r="R188" s="58"/>
      <c r="S188" s="58"/>
      <c r="T188" s="124">
        <v>342119066</v>
      </c>
      <c r="U188" s="43"/>
      <c r="V188" s="43">
        <v>342119066</v>
      </c>
      <c r="AA188" s="53"/>
      <c r="AB188" s="53"/>
      <c r="AC188" s="10"/>
      <c r="AD188" s="13"/>
      <c r="AE188" s="10"/>
      <c r="AF188" s="10"/>
      <c r="AG188" s="45"/>
      <c r="AH188" s="45"/>
      <c r="AI188" s="45"/>
      <c r="AJ188" s="41"/>
      <c r="AK188" s="45"/>
      <c r="AL188" s="45"/>
      <c r="AO188" s="45"/>
      <c r="AP188" s="46">
        <f>SUM(AC188:AO188)+V188</f>
        <v>342119066</v>
      </c>
      <c r="AQ188" s="47"/>
      <c r="AW188" s="48">
        <f t="shared" si="171"/>
        <v>342119066</v>
      </c>
      <c r="AX188" s="66"/>
      <c r="BH188" s="243">
        <f>+AP188+AP189+AP190</f>
        <v>335504804.51800001</v>
      </c>
      <c r="BM188" s="47">
        <f>SUM(BH188:BL188)</f>
        <v>335504804.51800001</v>
      </c>
      <c r="BN188" s="66"/>
      <c r="BY188" s="55" t="e">
        <f>BH188+BH189</f>
        <v>#REF!</v>
      </c>
      <c r="CD188" s="47" t="e">
        <f t="shared" ref="CD188:CD194" si="172">SUM(BY188:CC188)</f>
        <v>#REF!</v>
      </c>
      <c r="CE188" s="66"/>
      <c r="CO188" s="55" t="e">
        <f>+BY188+BY189+BY190+BY191+BY192</f>
        <v>#REF!</v>
      </c>
      <c r="CT188" s="47" t="e">
        <f t="shared" ref="CT188:CT194" si="173">SUM(CO188:CS188)</f>
        <v>#REF!</v>
      </c>
      <c r="CU188" s="66"/>
      <c r="DE188" s="55" t="e">
        <f>+CO188+CO189</f>
        <v>#REF!</v>
      </c>
      <c r="DJ188" s="47" t="e">
        <f t="shared" ref="DJ188:DJ194" si="174">SUM(DE188:DI188)</f>
        <v>#REF!</v>
      </c>
      <c r="DK188" s="66"/>
      <c r="DU188" s="55" t="e">
        <f>+DE188+DE189</f>
        <v>#REF!</v>
      </c>
      <c r="DZ188" s="47" t="e">
        <f t="shared" ref="DZ188:DZ194" si="175">SUM(DU188:DY188)</f>
        <v>#REF!</v>
      </c>
      <c r="EA188" s="66"/>
    </row>
    <row r="189" spans="1:131" s="54" customFormat="1" x14ac:dyDescent="0.2">
      <c r="B189" s="236" t="s">
        <v>408</v>
      </c>
      <c r="C189" s="236"/>
      <c r="D189" s="58"/>
      <c r="E189" s="57"/>
      <c r="F189" s="58"/>
      <c r="G189" s="58"/>
      <c r="H189" s="58"/>
      <c r="I189" s="58"/>
      <c r="J189" s="58"/>
      <c r="K189" s="102"/>
      <c r="L189" s="58"/>
      <c r="M189" s="58"/>
      <c r="N189" s="58"/>
      <c r="O189" s="58"/>
      <c r="P189" s="58"/>
      <c r="Q189" s="58"/>
      <c r="R189" s="58"/>
      <c r="S189" s="58"/>
      <c r="T189" s="124">
        <f>+T188*0.023</f>
        <v>7868738.5180000002</v>
      </c>
      <c r="U189" s="43"/>
      <c r="V189" s="43">
        <v>7868738.5180000002</v>
      </c>
      <c r="AA189" s="53"/>
      <c r="AB189" s="53"/>
      <c r="AC189" s="10"/>
      <c r="AD189" s="13"/>
      <c r="AE189" s="10"/>
      <c r="AF189" s="10"/>
      <c r="AG189" s="45"/>
      <c r="AH189" s="45"/>
      <c r="AI189" s="45"/>
      <c r="AJ189" s="41"/>
      <c r="AK189" s="45"/>
      <c r="AL189" s="45"/>
      <c r="AO189" s="45"/>
      <c r="AP189" s="46">
        <f>SUM(AC189:AO189)+V189</f>
        <v>7868738.5180000002</v>
      </c>
      <c r="AQ189" s="47"/>
      <c r="AW189" s="48">
        <f t="shared" si="171"/>
        <v>7868738.5180000002</v>
      </c>
      <c r="AX189" s="66"/>
      <c r="BH189" s="243" t="e">
        <f>+BH188*#REF!</f>
        <v>#REF!</v>
      </c>
      <c r="BM189" s="47" t="e">
        <f t="shared" ref="BM189:BM194" si="176">SUM(BH189:BL189)</f>
        <v>#REF!</v>
      </c>
      <c r="BN189" s="66"/>
      <c r="BY189" s="55" t="e">
        <f>+BY188*#REF!</f>
        <v>#REF!</v>
      </c>
      <c r="CD189" s="47" t="e">
        <f t="shared" si="172"/>
        <v>#REF!</v>
      </c>
      <c r="CE189" s="66"/>
      <c r="CO189" s="55" t="e">
        <f>+CO188*#REF!</f>
        <v>#REF!</v>
      </c>
      <c r="CT189" s="47" t="e">
        <f t="shared" si="173"/>
        <v>#REF!</v>
      </c>
      <c r="CU189" s="66"/>
      <c r="DE189" s="55" t="e">
        <f>+DE188*#REF!</f>
        <v>#REF!</v>
      </c>
      <c r="DJ189" s="47" t="e">
        <f t="shared" si="174"/>
        <v>#REF!</v>
      </c>
      <c r="DK189" s="66"/>
      <c r="DU189" s="55" t="e">
        <f>DU188*#REF!</f>
        <v>#REF!</v>
      </c>
      <c r="DZ189" s="47" t="e">
        <f t="shared" si="175"/>
        <v>#REF!</v>
      </c>
      <c r="EA189" s="66"/>
    </row>
    <row r="190" spans="1:131" s="54" customFormat="1" x14ac:dyDescent="0.2">
      <c r="B190" s="236"/>
      <c r="C190" s="236"/>
      <c r="D190" s="58"/>
      <c r="E190" s="57"/>
      <c r="F190" s="58"/>
      <c r="G190" s="58"/>
      <c r="H190" s="58"/>
      <c r="I190" s="58"/>
      <c r="J190" s="58"/>
      <c r="K190" s="102"/>
      <c r="L190" s="58"/>
      <c r="M190" s="58"/>
      <c r="N190" s="58"/>
      <c r="O190" s="58"/>
      <c r="P190" s="58"/>
      <c r="Q190" s="58"/>
      <c r="R190" s="58"/>
      <c r="S190" s="58"/>
      <c r="T190" s="124"/>
      <c r="U190" s="43"/>
      <c r="V190" s="43">
        <v>0</v>
      </c>
      <c r="AA190" s="53"/>
      <c r="AB190" s="53"/>
      <c r="AC190" s="10"/>
      <c r="AD190" s="13"/>
      <c r="AE190" s="10"/>
      <c r="AF190" s="10"/>
      <c r="AG190" s="45"/>
      <c r="AH190" s="45"/>
      <c r="AI190" s="45"/>
      <c r="AJ190" s="41"/>
      <c r="AK190" s="45"/>
      <c r="AL190" s="45"/>
      <c r="AN190" s="245">
        <v>-1132000</v>
      </c>
      <c r="AO190" s="246">
        <f>-13732000+381000</f>
        <v>-13351000</v>
      </c>
      <c r="AP190" s="46">
        <f>SUM(AC190:AO190)+V190</f>
        <v>-14483000</v>
      </c>
      <c r="AQ190" s="47"/>
      <c r="AW190" s="48">
        <f t="shared" si="171"/>
        <v>-14483000</v>
      </c>
      <c r="AX190" s="66"/>
      <c r="BH190" s="243">
        <v>0</v>
      </c>
      <c r="BM190" s="47">
        <f t="shared" si="176"/>
        <v>0</v>
      </c>
      <c r="BN190" s="66"/>
      <c r="CD190" s="47">
        <f>SUM(BY190:CC190)</f>
        <v>0</v>
      </c>
      <c r="CE190" s="66"/>
      <c r="CO190" s="55"/>
      <c r="CT190" s="47">
        <f t="shared" si="173"/>
        <v>0</v>
      </c>
      <c r="CU190" s="66"/>
      <c r="DE190" s="55">
        <f>+CO190</f>
        <v>0</v>
      </c>
      <c r="DJ190" s="47">
        <f t="shared" si="174"/>
        <v>0</v>
      </c>
      <c r="DK190" s="66"/>
      <c r="DU190" s="55">
        <f>+DE190</f>
        <v>0</v>
      </c>
      <c r="DZ190" s="47">
        <f t="shared" si="175"/>
        <v>0</v>
      </c>
      <c r="EA190" s="66"/>
    </row>
    <row r="191" spans="1:131" s="54" customFormat="1" x14ac:dyDescent="0.2">
      <c r="B191" s="236"/>
      <c r="C191" s="236"/>
      <c r="D191" s="58"/>
      <c r="E191" s="57"/>
      <c r="F191" s="58"/>
      <c r="G191" s="58"/>
      <c r="H191" s="58"/>
      <c r="I191" s="58"/>
      <c r="J191" s="58"/>
      <c r="K191" s="102"/>
      <c r="L191" s="58"/>
      <c r="M191" s="58"/>
      <c r="N191" s="58"/>
      <c r="O191" s="58"/>
      <c r="P191" s="58"/>
      <c r="Q191" s="58"/>
      <c r="R191" s="58"/>
      <c r="S191" s="58"/>
      <c r="T191" s="124"/>
      <c r="U191" s="43"/>
      <c r="V191" s="43"/>
      <c r="Z191" s="248" t="s">
        <v>517</v>
      </c>
      <c r="AA191" s="53"/>
      <c r="AB191" s="53"/>
      <c r="AC191" s="10"/>
      <c r="AD191" s="13"/>
      <c r="AE191" s="10"/>
      <c r="AF191" s="10"/>
      <c r="AG191" s="45"/>
      <c r="AH191" s="45"/>
      <c r="AI191" s="45"/>
      <c r="AJ191" s="41"/>
      <c r="AK191" s="45"/>
      <c r="AL191" s="45"/>
      <c r="AN191" s="245"/>
      <c r="AO191" s="246"/>
      <c r="AP191" s="46"/>
      <c r="AQ191" s="47"/>
      <c r="AW191" s="48"/>
      <c r="AX191" s="66"/>
      <c r="BH191" s="243"/>
      <c r="BM191" s="47">
        <f t="shared" si="176"/>
        <v>0</v>
      </c>
      <c r="BN191" s="66"/>
      <c r="BY191" s="47">
        <v>-18404000</v>
      </c>
      <c r="CD191" s="47">
        <f t="shared" si="172"/>
        <v>-18404000</v>
      </c>
      <c r="CE191" s="66"/>
      <c r="CO191" s="55"/>
      <c r="CT191" s="47"/>
      <c r="CU191" s="66"/>
      <c r="DE191" s="55"/>
      <c r="DJ191" s="47"/>
      <c r="DK191" s="66"/>
      <c r="DU191" s="55"/>
      <c r="DZ191" s="47"/>
      <c r="EA191" s="66"/>
    </row>
    <row r="192" spans="1:131" s="54" customFormat="1" x14ac:dyDescent="0.2">
      <c r="B192" s="236"/>
      <c r="C192" s="236"/>
      <c r="D192" s="58"/>
      <c r="E192" s="57"/>
      <c r="F192" s="58"/>
      <c r="G192" s="58"/>
      <c r="H192" s="58"/>
      <c r="I192" s="58"/>
      <c r="J192" s="58"/>
      <c r="K192" s="102"/>
      <c r="L192" s="58"/>
      <c r="M192" s="58"/>
      <c r="N192" s="58"/>
      <c r="O192" s="58"/>
      <c r="P192" s="58"/>
      <c r="Q192" s="58"/>
      <c r="R192" s="58"/>
      <c r="S192" s="58"/>
      <c r="T192" s="124"/>
      <c r="U192" s="43"/>
      <c r="V192" s="43"/>
      <c r="Z192" s="248"/>
      <c r="AA192" s="354"/>
      <c r="AB192" s="354"/>
      <c r="AC192" s="355"/>
      <c r="AD192" s="356"/>
      <c r="AE192" s="355"/>
      <c r="AF192" s="355"/>
      <c r="AG192" s="357"/>
      <c r="AH192" s="357"/>
      <c r="AI192" s="357"/>
      <c r="AJ192" s="358"/>
      <c r="AK192" s="357"/>
      <c r="AL192" s="357"/>
      <c r="AN192" s="245"/>
      <c r="AO192" s="359"/>
      <c r="AP192" s="360"/>
      <c r="AQ192" s="47"/>
      <c r="AW192" s="48"/>
      <c r="AX192" s="66"/>
      <c r="BH192" s="243"/>
      <c r="BM192" s="47"/>
      <c r="BN192" s="66"/>
      <c r="BY192" s="47">
        <v>5881000</v>
      </c>
      <c r="CD192" s="47">
        <f t="shared" si="172"/>
        <v>5881000</v>
      </c>
      <c r="CE192" s="66"/>
      <c r="CO192" s="55"/>
      <c r="CT192" s="47"/>
      <c r="CU192" s="66"/>
      <c r="DE192" s="55"/>
      <c r="DJ192" s="47"/>
      <c r="DK192" s="66"/>
      <c r="DU192" s="55"/>
      <c r="DZ192" s="47"/>
      <c r="EA192" s="66"/>
    </row>
    <row r="193" spans="2:131" s="54" customFormat="1" ht="25.5" x14ac:dyDescent="0.2">
      <c r="B193" s="237" t="s">
        <v>275</v>
      </c>
      <c r="C193" s="238"/>
      <c r="D193" s="32"/>
      <c r="E193" s="57"/>
      <c r="F193" s="58"/>
      <c r="G193" s="58"/>
      <c r="H193" s="58"/>
      <c r="I193" s="58"/>
      <c r="J193" s="58"/>
      <c r="K193" s="102"/>
      <c r="L193" s="58"/>
      <c r="M193" s="58"/>
      <c r="N193" s="36"/>
      <c r="O193" s="32"/>
      <c r="P193" s="32"/>
      <c r="Q193" s="32"/>
      <c r="R193" s="32"/>
      <c r="S193" s="32"/>
      <c r="T193" s="124">
        <v>7180000</v>
      </c>
      <c r="U193" s="43"/>
      <c r="V193" s="43">
        <v>7180000</v>
      </c>
      <c r="AA193" s="44" t="s">
        <v>291</v>
      </c>
      <c r="AB193" s="44"/>
      <c r="AC193" s="10"/>
      <c r="AD193" s="13" t="e">
        <f>LOOKUP(AA193,#REF!,#REF!)*T193</f>
        <v>#REF!</v>
      </c>
      <c r="AE193" s="10"/>
      <c r="AF193" s="10"/>
      <c r="AG193" s="45"/>
      <c r="AH193" s="45"/>
      <c r="AI193" s="45"/>
      <c r="AJ193" s="1"/>
      <c r="AK193" s="45"/>
      <c r="AL193" s="45"/>
      <c r="AO193" s="45"/>
      <c r="AP193" s="46" t="e">
        <f>SUM(AC193:AO193)+V193</f>
        <v>#REF!</v>
      </c>
      <c r="AQ193" s="47"/>
      <c r="AW193" s="48" t="e">
        <f t="shared" si="171"/>
        <v>#REF!</v>
      </c>
      <c r="AX193" s="66"/>
      <c r="BH193" s="243">
        <f>287200*25</f>
        <v>7180000</v>
      </c>
      <c r="BM193" s="47">
        <f t="shared" si="176"/>
        <v>7180000</v>
      </c>
      <c r="BN193" s="66"/>
      <c r="BY193" s="55">
        <f>287200*22.5</f>
        <v>6462000</v>
      </c>
      <c r="CD193" s="47">
        <f t="shared" si="172"/>
        <v>6462000</v>
      </c>
      <c r="CE193" s="66"/>
      <c r="CO193" s="55">
        <f>+BY193</f>
        <v>6462000</v>
      </c>
      <c r="CT193" s="47">
        <f t="shared" si="173"/>
        <v>6462000</v>
      </c>
      <c r="CU193" s="66"/>
      <c r="DE193" s="55">
        <f>+CO193</f>
        <v>6462000</v>
      </c>
      <c r="DJ193" s="47">
        <f t="shared" si="174"/>
        <v>6462000</v>
      </c>
      <c r="DK193" s="66"/>
      <c r="DU193" s="55">
        <f>+DE193</f>
        <v>6462000</v>
      </c>
      <c r="DZ193" s="47">
        <f t="shared" si="175"/>
        <v>6462000</v>
      </c>
      <c r="EA193" s="66"/>
    </row>
    <row r="194" spans="2:131" s="54" customFormat="1" ht="13.5" thickBot="1" x14ac:dyDescent="0.25">
      <c r="B194" s="239" t="s">
        <v>276</v>
      </c>
      <c r="C194" s="238"/>
      <c r="D194" s="32"/>
      <c r="E194" s="115"/>
      <c r="F194" s="115"/>
      <c r="G194" s="115"/>
      <c r="H194" s="115"/>
      <c r="I194" s="115"/>
      <c r="J194" s="115"/>
      <c r="K194" s="116"/>
      <c r="L194" s="115"/>
      <c r="M194" s="115"/>
      <c r="N194" s="115"/>
      <c r="O194" s="32"/>
      <c r="P194" s="32"/>
      <c r="Q194" s="32"/>
      <c r="R194" s="32"/>
      <c r="S194" s="32"/>
      <c r="T194" s="124"/>
      <c r="U194" s="43"/>
      <c r="V194" s="43">
        <v>0</v>
      </c>
      <c r="W194" s="75"/>
      <c r="X194" s="75"/>
      <c r="Y194" s="75"/>
      <c r="Z194" s="75"/>
      <c r="AA194" s="76"/>
      <c r="AB194" s="76"/>
      <c r="AC194" s="21"/>
      <c r="AD194" s="22"/>
      <c r="AE194" s="21"/>
      <c r="AF194" s="21"/>
      <c r="AG194" s="77"/>
      <c r="AH194" s="77"/>
      <c r="AI194" s="77"/>
      <c r="AJ194" s="26"/>
      <c r="AK194" s="77"/>
      <c r="AL194" s="77"/>
      <c r="AO194" s="77"/>
      <c r="AP194" s="78">
        <f>SUM(AC194:AL194)+V194</f>
        <v>0</v>
      </c>
      <c r="AQ194" s="47"/>
      <c r="AW194" s="48">
        <f t="shared" si="171"/>
        <v>0</v>
      </c>
      <c r="AX194" s="66"/>
      <c r="BM194" s="47">
        <f t="shared" si="176"/>
        <v>0</v>
      </c>
      <c r="BN194" s="66"/>
      <c r="BY194" s="55"/>
      <c r="CD194" s="47">
        <f t="shared" si="172"/>
        <v>0</v>
      </c>
      <c r="CE194" s="66"/>
      <c r="CT194" s="47">
        <f t="shared" si="173"/>
        <v>0</v>
      </c>
      <c r="CU194" s="66"/>
      <c r="DJ194" s="47">
        <f t="shared" si="174"/>
        <v>0</v>
      </c>
      <c r="DK194" s="66"/>
      <c r="DZ194" s="47">
        <f t="shared" si="175"/>
        <v>0</v>
      </c>
      <c r="EA194" s="66"/>
    </row>
    <row r="195" spans="2:131" s="54" customFormat="1" x14ac:dyDescent="0.2">
      <c r="B195" s="121" t="s">
        <v>353</v>
      </c>
      <c r="C195" s="32"/>
      <c r="D195" s="32"/>
      <c r="E195" s="115"/>
      <c r="F195" s="115"/>
      <c r="G195" s="115"/>
      <c r="H195" s="115"/>
      <c r="I195" s="115"/>
      <c r="J195" s="115"/>
      <c r="K195" s="116"/>
      <c r="L195" s="115"/>
      <c r="M195" s="115"/>
      <c r="N195" s="115"/>
      <c r="O195" s="115">
        <v>1158000</v>
      </c>
      <c r="P195" s="32"/>
      <c r="Q195" s="32"/>
      <c r="R195" s="32"/>
      <c r="S195" s="32"/>
      <c r="T195" s="125">
        <f t="shared" ref="T195" si="177">SUM(H195:S195)</f>
        <v>1158000</v>
      </c>
      <c r="U195" s="43"/>
      <c r="V195" s="43">
        <v>1158000</v>
      </c>
      <c r="AA195" s="117"/>
      <c r="AB195" s="117"/>
      <c r="AC195" s="118"/>
      <c r="AD195" s="13">
        <v>34740</v>
      </c>
      <c r="AE195" s="118"/>
      <c r="AF195" s="118"/>
      <c r="AG195" s="119"/>
      <c r="AH195" s="119"/>
      <c r="AI195" s="119"/>
      <c r="AJ195" s="120"/>
      <c r="AK195" s="119"/>
      <c r="AL195" s="119"/>
      <c r="AO195" s="119">
        <v>-1192740</v>
      </c>
      <c r="AP195" s="46">
        <f>SUM(AC195:AO195)+V195</f>
        <v>0</v>
      </c>
      <c r="AQ195" s="47"/>
      <c r="AW195" s="48">
        <f t="shared" si="171"/>
        <v>0</v>
      </c>
      <c r="AX195" s="66"/>
      <c r="BN195" s="66"/>
      <c r="CE195" s="66"/>
      <c r="CU195" s="66"/>
      <c r="DK195" s="66"/>
      <c r="EA195" s="66"/>
    </row>
    <row r="196" spans="2:131" s="54" customFormat="1" x14ac:dyDescent="0.2">
      <c r="B196" s="242" t="s">
        <v>299</v>
      </c>
      <c r="C196" s="238"/>
      <c r="D196" s="97"/>
      <c r="E196" s="23"/>
      <c r="F196" s="23"/>
      <c r="G196" s="23"/>
      <c r="H196" s="23"/>
      <c r="I196" s="23"/>
      <c r="J196" s="23"/>
      <c r="K196" s="109"/>
      <c r="L196" s="23"/>
      <c r="M196" s="23"/>
      <c r="N196" s="23"/>
      <c r="O196" s="97"/>
      <c r="P196" s="97"/>
      <c r="Q196" s="97"/>
      <c r="R196" s="97"/>
      <c r="S196" s="97"/>
      <c r="T196" s="43">
        <f>SUM(T188:T195)</f>
        <v>358325804.51800001</v>
      </c>
      <c r="U196" s="43"/>
      <c r="V196" s="43">
        <f>SUM(V188:V195)</f>
        <v>358325804.51800001</v>
      </c>
      <c r="AA196" s="79"/>
      <c r="AB196" s="79"/>
      <c r="AC196" s="19"/>
      <c r="AD196" s="20">
        <f>+AD195</f>
        <v>34740</v>
      </c>
      <c r="AE196" s="19"/>
      <c r="AF196" s="19"/>
      <c r="AG196" s="80"/>
      <c r="AH196" s="80"/>
      <c r="AI196" s="80"/>
      <c r="AJ196" s="25"/>
      <c r="AK196" s="80"/>
      <c r="AL196" s="80"/>
      <c r="AN196" s="80">
        <f>SUM(AN188:AN195)</f>
        <v>-1132000</v>
      </c>
      <c r="AO196" s="80">
        <f>SUM(AO188:AO195)</f>
        <v>-14543740</v>
      </c>
      <c r="AP196" s="81">
        <f>SUM(AD196:AO196)+T196</f>
        <v>342684804.51800001</v>
      </c>
      <c r="AQ196" s="47"/>
      <c r="AW196" s="48">
        <f t="shared" si="171"/>
        <v>342684804.51800001</v>
      </c>
      <c r="AX196" s="66"/>
      <c r="BH196" s="55" t="e">
        <f>SUM(BH188:BH193)</f>
        <v>#REF!</v>
      </c>
      <c r="BI196" s="55">
        <f t="shared" ref="BI196:BM196" si="178">SUM(BI188:BI193)</f>
        <v>0</v>
      </c>
      <c r="BJ196" s="55">
        <f t="shared" si="178"/>
        <v>0</v>
      </c>
      <c r="BK196" s="55">
        <f t="shared" si="178"/>
        <v>0</v>
      </c>
      <c r="BL196" s="55">
        <f t="shared" si="178"/>
        <v>0</v>
      </c>
      <c r="BM196" s="55" t="e">
        <f t="shared" si="178"/>
        <v>#REF!</v>
      </c>
      <c r="BN196" s="66"/>
      <c r="BY196" s="55" t="e">
        <f>SUM(BY188:BY194)</f>
        <v>#REF!</v>
      </c>
      <c r="BZ196" s="55">
        <f t="shared" ref="BZ196:CC196" si="179">SUM(BZ188:BZ193)</f>
        <v>0</v>
      </c>
      <c r="CA196" s="55">
        <f t="shared" si="179"/>
        <v>0</v>
      </c>
      <c r="CB196" s="55">
        <f t="shared" si="179"/>
        <v>0</v>
      </c>
      <c r="CC196" s="55">
        <f t="shared" si="179"/>
        <v>0</v>
      </c>
      <c r="CD196" s="55" t="e">
        <f>SUM(CD188:CD194)</f>
        <v>#REF!</v>
      </c>
      <c r="CE196" s="66"/>
      <c r="CO196" s="55" t="e">
        <f>SUM(CO188:CO193)</f>
        <v>#REF!</v>
      </c>
      <c r="CP196" s="55">
        <f t="shared" ref="CP196:CT196" si="180">SUM(CP188:CP193)</f>
        <v>0</v>
      </c>
      <c r="CQ196" s="55">
        <f t="shared" si="180"/>
        <v>0</v>
      </c>
      <c r="CR196" s="55">
        <f t="shared" si="180"/>
        <v>0</v>
      </c>
      <c r="CS196" s="55">
        <f t="shared" si="180"/>
        <v>0</v>
      </c>
      <c r="CT196" s="55" t="e">
        <f t="shared" si="180"/>
        <v>#REF!</v>
      </c>
      <c r="CU196" s="66"/>
      <c r="DE196" s="55" t="e">
        <f>SUM(DE188:DE193)</f>
        <v>#REF!</v>
      </c>
      <c r="DF196" s="55">
        <f t="shared" ref="DF196:DJ196" si="181">SUM(DF188:DF193)</f>
        <v>0</v>
      </c>
      <c r="DG196" s="55">
        <f t="shared" si="181"/>
        <v>0</v>
      </c>
      <c r="DH196" s="55">
        <f t="shared" si="181"/>
        <v>0</v>
      </c>
      <c r="DI196" s="55">
        <f t="shared" si="181"/>
        <v>0</v>
      </c>
      <c r="DJ196" s="55" t="e">
        <f t="shared" si="181"/>
        <v>#REF!</v>
      </c>
      <c r="DK196" s="66"/>
      <c r="DU196" s="55" t="e">
        <f>SUM(DU188:DU193)</f>
        <v>#REF!</v>
      </c>
      <c r="DV196" s="55">
        <f t="shared" ref="DV196:DZ196" si="182">SUM(DV188:DV193)</f>
        <v>0</v>
      </c>
      <c r="DW196" s="55">
        <f t="shared" si="182"/>
        <v>0</v>
      </c>
      <c r="DX196" s="55">
        <f t="shared" si="182"/>
        <v>0</v>
      </c>
      <c r="DY196" s="55">
        <f t="shared" si="182"/>
        <v>0</v>
      </c>
      <c r="DZ196" s="55" t="e">
        <f t="shared" si="182"/>
        <v>#REF!</v>
      </c>
      <c r="EA196" s="66"/>
    </row>
    <row r="197" spans="2:131" s="54" customFormat="1" ht="13.5" thickBot="1" x14ac:dyDescent="0.25">
      <c r="B197" s="122" t="s">
        <v>354</v>
      </c>
      <c r="C197" s="82"/>
      <c r="D197" s="82"/>
      <c r="E197" s="82"/>
      <c r="F197" s="82"/>
      <c r="G197" s="82"/>
      <c r="H197" s="82"/>
      <c r="I197" s="82"/>
      <c r="J197" s="82"/>
      <c r="K197" s="110"/>
      <c r="L197" s="82"/>
      <c r="M197" s="82"/>
      <c r="N197" s="82"/>
      <c r="O197" s="82"/>
      <c r="P197" s="82"/>
      <c r="Q197" s="82"/>
      <c r="R197" s="82"/>
      <c r="S197" s="82"/>
      <c r="T197" s="74">
        <v>0</v>
      </c>
      <c r="U197" s="74"/>
      <c r="V197" s="74">
        <v>0</v>
      </c>
      <c r="W197" s="75"/>
      <c r="X197" s="75"/>
      <c r="Y197" s="75"/>
      <c r="Z197" s="75"/>
      <c r="AA197" s="76"/>
      <c r="AB197" s="76"/>
      <c r="AC197" s="21"/>
      <c r="AD197" s="22"/>
      <c r="AE197" s="21"/>
      <c r="AF197" s="21"/>
      <c r="AG197" s="77"/>
      <c r="AH197" s="77"/>
      <c r="AI197" s="77"/>
      <c r="AJ197" s="83"/>
      <c r="AK197" s="77"/>
      <c r="AL197" s="77"/>
      <c r="AO197" s="77"/>
      <c r="AP197" s="78">
        <f>SUM(AC197:AL197)+T197</f>
        <v>0</v>
      </c>
      <c r="AQ197" s="126">
        <f>1500000+2894000</f>
        <v>4394000</v>
      </c>
      <c r="AW197" s="48">
        <f t="shared" si="171"/>
        <v>4394000</v>
      </c>
      <c r="AX197" s="66"/>
      <c r="BM197" s="55" t="e">
        <f>+AW205</f>
        <v>#REF!</v>
      </c>
      <c r="BN197" s="66"/>
      <c r="CD197" s="55" t="e">
        <f>+BM205</f>
        <v>#REF!</v>
      </c>
      <c r="CE197" s="66"/>
      <c r="CT197" s="55" t="e">
        <f>+CD205</f>
        <v>#REF!</v>
      </c>
      <c r="CU197" s="66"/>
      <c r="DJ197" s="55" t="e">
        <f>+CT205</f>
        <v>#REF!</v>
      </c>
      <c r="DK197" s="66"/>
      <c r="DZ197" s="55" t="e">
        <f>+DJ205</f>
        <v>#REF!</v>
      </c>
      <c r="EA197" s="66"/>
    </row>
    <row r="198" spans="2:131" s="54" customFormat="1" x14ac:dyDescent="0.2">
      <c r="B198" s="240" t="s">
        <v>439</v>
      </c>
      <c r="C198" s="241"/>
      <c r="D198" s="84"/>
      <c r="E198" s="84"/>
      <c r="F198" s="84"/>
      <c r="G198" s="84"/>
      <c r="H198" s="84"/>
      <c r="I198" s="84"/>
      <c r="J198" s="84"/>
      <c r="K198" s="111"/>
      <c r="L198" s="84"/>
      <c r="M198" s="84"/>
      <c r="N198" s="84"/>
      <c r="O198" s="84"/>
      <c r="P198" s="84"/>
      <c r="Q198" s="84"/>
      <c r="R198" s="84"/>
      <c r="S198" s="84"/>
      <c r="T198" s="43">
        <f>+T196+T197</f>
        <v>358325804.51800001</v>
      </c>
      <c r="U198" s="43"/>
      <c r="V198" s="43">
        <f>+V196+V197</f>
        <v>358325804.51800001</v>
      </c>
      <c r="AA198" s="79">
        <f t="shared" ref="AA198:AR198" si="183">+AA196+AA197</f>
        <v>0</v>
      </c>
      <c r="AB198" s="79"/>
      <c r="AC198" s="19">
        <f t="shared" si="183"/>
        <v>0</v>
      </c>
      <c r="AD198" s="20">
        <f>+AD196+AD197</f>
        <v>34740</v>
      </c>
      <c r="AE198" s="19">
        <f t="shared" si="183"/>
        <v>0</v>
      </c>
      <c r="AF198" s="19">
        <f t="shared" si="183"/>
        <v>0</v>
      </c>
      <c r="AG198" s="80">
        <f t="shared" si="183"/>
        <v>0</v>
      </c>
      <c r="AH198" s="80">
        <f t="shared" si="183"/>
        <v>0</v>
      </c>
      <c r="AI198" s="80">
        <f t="shared" si="183"/>
        <v>0</v>
      </c>
      <c r="AJ198" s="85">
        <f t="shared" si="183"/>
        <v>0</v>
      </c>
      <c r="AK198" s="80">
        <f t="shared" si="183"/>
        <v>0</v>
      </c>
      <c r="AL198" s="80">
        <f t="shared" si="183"/>
        <v>0</v>
      </c>
      <c r="AM198" s="81"/>
      <c r="AN198" s="81"/>
      <c r="AO198" s="80">
        <f t="shared" si="183"/>
        <v>-14543740</v>
      </c>
      <c r="AP198" s="81">
        <f>+AP196+AP197</f>
        <v>342684804.51800001</v>
      </c>
      <c r="AQ198" s="81">
        <f t="shared" si="183"/>
        <v>4394000</v>
      </c>
      <c r="AR198" s="81">
        <f t="shared" si="183"/>
        <v>0</v>
      </c>
      <c r="AS198" s="81"/>
      <c r="AT198" s="81">
        <f>+AT196+AT197</f>
        <v>0</v>
      </c>
      <c r="AU198" s="81">
        <f>+AU196+AU197</f>
        <v>0</v>
      </c>
      <c r="AV198" s="81">
        <f>+AV196+AV197</f>
        <v>0</v>
      </c>
      <c r="AW198" s="81">
        <f t="shared" ref="AW198:BH198" si="184">SUM(AW196:AW197)</f>
        <v>347078804.51800001</v>
      </c>
      <c r="AX198" s="66"/>
      <c r="AY198" s="81">
        <f t="shared" si="184"/>
        <v>0</v>
      </c>
      <c r="AZ198" s="81">
        <f t="shared" si="184"/>
        <v>0</v>
      </c>
      <c r="BA198" s="81">
        <f t="shared" si="184"/>
        <v>0</v>
      </c>
      <c r="BB198" s="81"/>
      <c r="BC198" s="81"/>
      <c r="BD198" s="81"/>
      <c r="BE198" s="81"/>
      <c r="BF198" s="81"/>
      <c r="BG198" s="81"/>
      <c r="BH198" s="81" t="e">
        <f t="shared" si="184"/>
        <v>#REF!</v>
      </c>
      <c r="BI198" s="81">
        <f t="shared" ref="BI198:BQ198" si="185">SUM(BI196:BI197)</f>
        <v>0</v>
      </c>
      <c r="BJ198" s="81">
        <f t="shared" si="185"/>
        <v>0</v>
      </c>
      <c r="BK198" s="81">
        <f t="shared" si="185"/>
        <v>0</v>
      </c>
      <c r="BL198" s="81">
        <f t="shared" si="185"/>
        <v>0</v>
      </c>
      <c r="BM198" s="81" t="e">
        <f>SUM(BM196:BM197)</f>
        <v>#REF!</v>
      </c>
      <c r="BN198" s="66"/>
      <c r="BO198" s="81">
        <f t="shared" si="185"/>
        <v>0</v>
      </c>
      <c r="BP198" s="81">
        <f t="shared" si="185"/>
        <v>0</v>
      </c>
      <c r="BQ198" s="81">
        <f t="shared" si="185"/>
        <v>0</v>
      </c>
      <c r="BR198" s="81"/>
      <c r="BS198" s="81"/>
      <c r="BT198" s="81"/>
      <c r="BU198" s="81"/>
      <c r="BV198" s="81"/>
      <c r="BW198" s="81"/>
      <c r="BX198" s="81"/>
      <c r="BY198" s="81" t="e">
        <f t="shared" ref="BY198:CD198" si="186">SUM(BY196:BY197)</f>
        <v>#REF!</v>
      </c>
      <c r="BZ198" s="81">
        <f t="shared" si="186"/>
        <v>0</v>
      </c>
      <c r="CA198" s="81">
        <f t="shared" si="186"/>
        <v>0</v>
      </c>
      <c r="CB198" s="81">
        <f t="shared" si="186"/>
        <v>0</v>
      </c>
      <c r="CC198" s="81">
        <f t="shared" si="186"/>
        <v>0</v>
      </c>
      <c r="CD198" s="81" t="e">
        <f t="shared" si="186"/>
        <v>#REF!</v>
      </c>
      <c r="CE198" s="66"/>
      <c r="CF198" s="81">
        <f t="shared" ref="CF198:CT198" si="187">SUM(CF196:CF197)</f>
        <v>0</v>
      </c>
      <c r="CG198" s="81">
        <f t="shared" si="187"/>
        <v>0</v>
      </c>
      <c r="CH198" s="81">
        <f t="shared" si="187"/>
        <v>0</v>
      </c>
      <c r="CI198" s="81"/>
      <c r="CJ198" s="81"/>
      <c r="CK198" s="81"/>
      <c r="CL198" s="81"/>
      <c r="CM198" s="81"/>
      <c r="CN198" s="81"/>
      <c r="CO198" s="81" t="e">
        <f t="shared" ref="CO198" si="188">SUM(CO196:CO197)</f>
        <v>#REF!</v>
      </c>
      <c r="CP198" s="81">
        <f t="shared" si="187"/>
        <v>0</v>
      </c>
      <c r="CQ198" s="81">
        <f t="shared" si="187"/>
        <v>0</v>
      </c>
      <c r="CR198" s="81">
        <f t="shared" si="187"/>
        <v>0</v>
      </c>
      <c r="CS198" s="81">
        <f t="shared" si="187"/>
        <v>0</v>
      </c>
      <c r="CT198" s="81" t="e">
        <f t="shared" si="187"/>
        <v>#REF!</v>
      </c>
      <c r="CU198" s="66"/>
      <c r="CV198" s="81">
        <f t="shared" ref="CV198:DJ198" si="189">SUM(CV196:CV197)</f>
        <v>0</v>
      </c>
      <c r="CW198" s="81">
        <f t="shared" si="189"/>
        <v>0</v>
      </c>
      <c r="CX198" s="81">
        <f t="shared" si="189"/>
        <v>0</v>
      </c>
      <c r="CY198" s="81"/>
      <c r="CZ198" s="81"/>
      <c r="DA198" s="81"/>
      <c r="DB198" s="81"/>
      <c r="DC198" s="81"/>
      <c r="DD198" s="81"/>
      <c r="DE198" s="81" t="e">
        <f t="shared" ref="DE198" si="190">SUM(DE196:DE197)</f>
        <v>#REF!</v>
      </c>
      <c r="DF198" s="81">
        <f t="shared" si="189"/>
        <v>0</v>
      </c>
      <c r="DG198" s="81">
        <f t="shared" si="189"/>
        <v>0</v>
      </c>
      <c r="DH198" s="81">
        <f t="shared" si="189"/>
        <v>0</v>
      </c>
      <c r="DI198" s="81">
        <f t="shared" si="189"/>
        <v>0</v>
      </c>
      <c r="DJ198" s="81" t="e">
        <f t="shared" si="189"/>
        <v>#REF!</v>
      </c>
      <c r="DK198" s="66"/>
      <c r="DL198" s="81">
        <f t="shared" ref="DL198:DN198" si="191">SUM(DL196:DL197)</f>
        <v>0</v>
      </c>
      <c r="DM198" s="81">
        <f t="shared" si="191"/>
        <v>0</v>
      </c>
      <c r="DN198" s="81">
        <f t="shared" si="191"/>
        <v>0</v>
      </c>
      <c r="DO198" s="81"/>
      <c r="DP198" s="81"/>
      <c r="DQ198" s="81"/>
      <c r="DR198" s="81"/>
      <c r="DS198" s="81"/>
      <c r="DT198" s="81"/>
      <c r="DU198" s="81" t="e">
        <f t="shared" ref="DU198:DZ198" si="192">SUM(DU196:DU197)</f>
        <v>#REF!</v>
      </c>
      <c r="DV198" s="81">
        <f t="shared" si="192"/>
        <v>0</v>
      </c>
      <c r="DW198" s="81">
        <f t="shared" si="192"/>
        <v>0</v>
      </c>
      <c r="DX198" s="81">
        <f t="shared" si="192"/>
        <v>0</v>
      </c>
      <c r="DY198" s="81">
        <f t="shared" si="192"/>
        <v>0</v>
      </c>
      <c r="DZ198" s="81" t="e">
        <f t="shared" si="192"/>
        <v>#REF!</v>
      </c>
      <c r="EA198" s="66"/>
    </row>
    <row r="199" spans="2:131" s="54" customFormat="1" x14ac:dyDescent="0.2">
      <c r="B199" s="58"/>
      <c r="C199" s="58"/>
      <c r="D199" s="58"/>
      <c r="E199" s="57"/>
      <c r="F199" s="58"/>
      <c r="G199" s="58"/>
      <c r="H199" s="58"/>
      <c r="I199" s="58"/>
      <c r="J199" s="58"/>
      <c r="K199" s="102"/>
      <c r="L199" s="58"/>
      <c r="M199" s="58"/>
      <c r="N199" s="58"/>
      <c r="O199" s="58"/>
      <c r="P199" s="58"/>
      <c r="Q199" s="58"/>
      <c r="R199" s="58"/>
      <c r="S199" s="58"/>
      <c r="T199" s="43"/>
      <c r="U199" s="43"/>
      <c r="V199" s="43">
        <v>0</v>
      </c>
      <c r="AA199" s="53"/>
      <c r="AB199" s="53"/>
      <c r="AC199" s="10"/>
      <c r="AD199" s="13"/>
      <c r="AE199" s="10"/>
      <c r="AF199" s="10"/>
      <c r="AG199" s="45"/>
      <c r="AH199" s="45"/>
      <c r="AI199" s="45"/>
      <c r="AJ199" s="41"/>
      <c r="AK199" s="45"/>
      <c r="AL199" s="45"/>
      <c r="AO199" s="45"/>
      <c r="AP199" s="46">
        <f>SUM(AC199:AL199)+V199</f>
        <v>0</v>
      </c>
      <c r="AQ199" s="55"/>
      <c r="AW199" s="55">
        <f>SUM(AP199:AV199)</f>
        <v>0</v>
      </c>
      <c r="AX199" s="66"/>
      <c r="BH199" s="55"/>
      <c r="BM199" s="55"/>
      <c r="BN199" s="66"/>
      <c r="BY199" s="55"/>
      <c r="CD199" s="55"/>
      <c r="CE199" s="66"/>
      <c r="CO199" s="55"/>
      <c r="CT199" s="55"/>
      <c r="CU199" s="66"/>
      <c r="DE199" s="55"/>
      <c r="DJ199" s="55"/>
      <c r="DK199" s="66"/>
      <c r="DU199" s="55"/>
      <c r="DZ199" s="55"/>
      <c r="EA199" s="66"/>
    </row>
    <row r="200" spans="2:131" x14ac:dyDescent="0.2">
      <c r="B200" s="57" t="s">
        <v>277</v>
      </c>
      <c r="C200" s="57"/>
      <c r="D200" s="57"/>
      <c r="E200" s="57"/>
      <c r="F200" s="57"/>
      <c r="G200" s="57"/>
      <c r="H200" s="57"/>
      <c r="I200" s="57"/>
      <c r="J200" s="57"/>
      <c r="K200" s="96"/>
      <c r="L200" s="57"/>
      <c r="M200" s="58"/>
      <c r="N200" s="57"/>
      <c r="O200" s="57"/>
      <c r="P200" s="57"/>
      <c r="Q200" s="57"/>
      <c r="R200" s="57"/>
      <c r="S200" s="57"/>
      <c r="T200" s="43">
        <v>0</v>
      </c>
      <c r="U200" s="43"/>
      <c r="V200" s="43">
        <v>0</v>
      </c>
      <c r="AA200" s="53" t="s">
        <v>291</v>
      </c>
      <c r="AB200" s="53"/>
      <c r="AC200" s="10"/>
      <c r="AD200" s="13" t="e">
        <f>LOOKUP(AA200,#REF!,#REF!)*T200</f>
        <v>#REF!</v>
      </c>
      <c r="AE200" s="10"/>
      <c r="AF200" s="10"/>
      <c r="AG200" s="45"/>
      <c r="AH200" s="45"/>
      <c r="AI200" s="45"/>
      <c r="AJ200" s="68"/>
      <c r="AK200" s="45"/>
      <c r="AL200" s="45"/>
      <c r="AM200" s="38"/>
      <c r="AN200" s="38"/>
      <c r="AO200" s="45"/>
      <c r="AP200" s="46" t="e">
        <f>SUM(AC200:AL200)+V200</f>
        <v>#REF!</v>
      </c>
      <c r="AQ200" s="47"/>
      <c r="AW200" s="47" t="e">
        <f>SUM(AP200:AV200)</f>
        <v>#REF!</v>
      </c>
      <c r="AX200" s="66"/>
      <c r="BN200" s="66"/>
      <c r="CE200" s="66"/>
      <c r="CU200" s="66"/>
      <c r="DK200" s="66"/>
      <c r="EA200" s="66"/>
    </row>
    <row r="201" spans="2:131" x14ac:dyDescent="0.2">
      <c r="B201" s="57" t="s">
        <v>300</v>
      </c>
      <c r="C201" s="57"/>
      <c r="D201" s="57"/>
      <c r="E201" s="57"/>
      <c r="F201" s="57"/>
      <c r="G201" s="57"/>
      <c r="H201" s="57"/>
      <c r="I201" s="57"/>
      <c r="J201" s="57"/>
      <c r="K201" s="96"/>
      <c r="L201" s="57"/>
      <c r="M201" s="58"/>
      <c r="N201" s="57"/>
      <c r="O201" s="57"/>
      <c r="P201" s="57"/>
      <c r="Q201" s="57"/>
      <c r="R201" s="57"/>
      <c r="S201" s="57"/>
      <c r="T201" s="43">
        <v>0</v>
      </c>
      <c r="U201" s="43"/>
      <c r="V201" s="43">
        <v>0</v>
      </c>
      <c r="AA201" s="86" t="s">
        <v>291</v>
      </c>
      <c r="AB201" s="86"/>
      <c r="AC201" s="3"/>
      <c r="AD201" s="13" t="e">
        <f>LOOKUP(AA201,#REF!,#REF!)*T201</f>
        <v>#REF!</v>
      </c>
      <c r="AE201" s="3"/>
      <c r="AF201" s="3"/>
      <c r="AG201" s="41"/>
      <c r="AH201" s="41"/>
      <c r="AI201" s="41"/>
      <c r="AJ201" s="68"/>
      <c r="AK201" s="41"/>
      <c r="AL201" s="41"/>
      <c r="AM201" s="38"/>
      <c r="AN201" s="38"/>
      <c r="AO201" s="41"/>
      <c r="AP201" s="46" t="e">
        <f>SUM(AC201:AL201)+V201</f>
        <v>#REF!</v>
      </c>
      <c r="AQ201" s="47"/>
      <c r="AW201" s="47" t="e">
        <f>SUM(AP201:AV201)</f>
        <v>#REF!</v>
      </c>
      <c r="AX201" s="66"/>
      <c r="BN201" s="66"/>
      <c r="CE201" s="66"/>
      <c r="CU201" s="66"/>
      <c r="DK201" s="66"/>
      <c r="EA201" s="66"/>
    </row>
    <row r="202" spans="2:131" x14ac:dyDescent="0.2">
      <c r="B202" s="57"/>
      <c r="C202" s="57"/>
      <c r="D202" s="57"/>
      <c r="E202" s="57"/>
      <c r="F202" s="57"/>
      <c r="G202" s="57"/>
      <c r="H202" s="57"/>
      <c r="I202" s="57"/>
      <c r="J202" s="57"/>
      <c r="K202" s="96"/>
      <c r="L202" s="57"/>
      <c r="M202" s="57"/>
      <c r="N202" s="57"/>
      <c r="O202" s="57"/>
      <c r="P202" s="57"/>
      <c r="Q202" s="57"/>
      <c r="R202" s="57"/>
      <c r="S202" s="57"/>
      <c r="T202" s="87"/>
      <c r="U202" s="87"/>
      <c r="V202" s="87">
        <v>0</v>
      </c>
      <c r="AA202" s="53"/>
      <c r="AB202" s="53"/>
      <c r="AC202" s="10"/>
      <c r="AD202" s="13"/>
      <c r="AE202" s="10"/>
      <c r="AF202" s="10"/>
      <c r="AG202" s="45"/>
      <c r="AH202" s="45"/>
      <c r="AI202" s="45"/>
      <c r="AJ202" s="68"/>
      <c r="AK202" s="45"/>
      <c r="AL202" s="45"/>
      <c r="AM202" s="38"/>
      <c r="AN202" s="38"/>
      <c r="AO202" s="45"/>
      <c r="AP202" s="46">
        <f>SUM(AC202:AL202)+V202</f>
        <v>0</v>
      </c>
      <c r="AQ202" s="47"/>
      <c r="AW202" s="47">
        <f>SUM(AP202:AV202)</f>
        <v>0</v>
      </c>
      <c r="AX202" s="66"/>
      <c r="BN202" s="66"/>
      <c r="CE202" s="66"/>
      <c r="CU202" s="66"/>
      <c r="DK202" s="66"/>
      <c r="EA202" s="66"/>
    </row>
    <row r="203" spans="2:131" x14ac:dyDescent="0.2">
      <c r="B203" s="88" t="s">
        <v>298</v>
      </c>
      <c r="C203" s="89"/>
      <c r="D203" s="89"/>
      <c r="E203" s="89"/>
      <c r="F203" s="89"/>
      <c r="G203" s="89"/>
      <c r="H203" s="89"/>
      <c r="I203" s="89"/>
      <c r="J203" s="89"/>
      <c r="K203" s="112"/>
      <c r="L203" s="89"/>
      <c r="M203" s="89"/>
      <c r="N203" s="89"/>
      <c r="O203" s="89"/>
      <c r="P203" s="89"/>
      <c r="Q203" s="89"/>
      <c r="R203" s="89"/>
      <c r="S203" s="89"/>
      <c r="T203" s="90">
        <f>SUM(T198:T202)</f>
        <v>358325804.51800001</v>
      </c>
      <c r="U203" s="43"/>
      <c r="V203" s="90">
        <f>SUM(V198:V202)</f>
        <v>358325804.51800001</v>
      </c>
      <c r="AA203" s="90">
        <f t="shared" ref="AA203:AG203" si="193">SUM(AA198:AA202)</f>
        <v>0</v>
      </c>
      <c r="AB203" s="90"/>
      <c r="AC203" s="4">
        <f t="shared" si="193"/>
        <v>0</v>
      </c>
      <c r="AD203" s="14" t="e">
        <f t="shared" si="193"/>
        <v>#REF!</v>
      </c>
      <c r="AE203" s="4">
        <f t="shared" si="193"/>
        <v>0</v>
      </c>
      <c r="AF203" s="4">
        <f t="shared" si="193"/>
        <v>0</v>
      </c>
      <c r="AG203" s="90">
        <f t="shared" si="193"/>
        <v>0</v>
      </c>
      <c r="AH203" s="90"/>
      <c r="AI203" s="90">
        <f t="shared" ref="AI203:AR203" si="194">SUM(AI198:AI202)</f>
        <v>0</v>
      </c>
      <c r="AJ203" s="24">
        <f t="shared" si="194"/>
        <v>0</v>
      </c>
      <c r="AK203" s="90">
        <f t="shared" si="194"/>
        <v>0</v>
      </c>
      <c r="AL203" s="90">
        <f t="shared" si="194"/>
        <v>0</v>
      </c>
      <c r="AM203" s="90"/>
      <c r="AN203" s="90"/>
      <c r="AO203" s="90">
        <f t="shared" si="194"/>
        <v>-14543740</v>
      </c>
      <c r="AP203" s="90" t="e">
        <f t="shared" si="194"/>
        <v>#REF!</v>
      </c>
      <c r="AQ203" s="90">
        <f t="shared" si="194"/>
        <v>4394000</v>
      </c>
      <c r="AR203" s="90">
        <f t="shared" si="194"/>
        <v>0</v>
      </c>
      <c r="AS203" s="90"/>
      <c r="AT203" s="90">
        <f t="shared" ref="AT203:AW203" si="195">SUM(AT198:AT202)</f>
        <v>0</v>
      </c>
      <c r="AU203" s="90">
        <f t="shared" si="195"/>
        <v>0</v>
      </c>
      <c r="AV203" s="90">
        <f t="shared" si="195"/>
        <v>0</v>
      </c>
      <c r="AW203" s="90" t="e">
        <f t="shared" si="195"/>
        <v>#REF!</v>
      </c>
      <c r="AX203" s="66"/>
      <c r="AY203" s="90">
        <f t="shared" ref="AY203:BL203" si="196">SUM(AY198:AY202)</f>
        <v>0</v>
      </c>
      <c r="AZ203" s="90"/>
      <c r="BA203" s="90">
        <f t="shared" si="196"/>
        <v>0</v>
      </c>
      <c r="BB203" s="90"/>
      <c r="BC203" s="90"/>
      <c r="BD203" s="90"/>
      <c r="BE203" s="90"/>
      <c r="BF203" s="90"/>
      <c r="BG203" s="90"/>
      <c r="BH203" s="90" t="e">
        <f t="shared" si="196"/>
        <v>#REF!</v>
      </c>
      <c r="BI203" s="90">
        <f t="shared" si="196"/>
        <v>0</v>
      </c>
      <c r="BJ203" s="90">
        <f t="shared" si="196"/>
        <v>0</v>
      </c>
      <c r="BK203" s="90">
        <f t="shared" si="196"/>
        <v>0</v>
      </c>
      <c r="BL203" s="90">
        <f t="shared" si="196"/>
        <v>0</v>
      </c>
      <c r="BM203" s="90" t="e">
        <f>SUM(BM198:BM202)</f>
        <v>#REF!</v>
      </c>
      <c r="BN203" s="66"/>
      <c r="BO203" s="90">
        <f t="shared" ref="BO203:CD203" si="197">SUM(BO198:BO202)</f>
        <v>0</v>
      </c>
      <c r="BP203" s="90"/>
      <c r="BQ203" s="90">
        <f t="shared" si="197"/>
        <v>0</v>
      </c>
      <c r="BR203" s="90"/>
      <c r="BS203" s="90"/>
      <c r="BT203" s="90"/>
      <c r="BU203" s="90"/>
      <c r="BV203" s="90"/>
      <c r="BW203" s="90"/>
      <c r="BX203" s="90"/>
      <c r="BY203" s="90" t="e">
        <f t="shared" ref="BY203" si="198">SUM(BY198:BY202)</f>
        <v>#REF!</v>
      </c>
      <c r="BZ203" s="90">
        <f t="shared" si="197"/>
        <v>0</v>
      </c>
      <c r="CA203" s="90">
        <f t="shared" si="197"/>
        <v>0</v>
      </c>
      <c r="CB203" s="90">
        <f t="shared" si="197"/>
        <v>0</v>
      </c>
      <c r="CC203" s="90">
        <f t="shared" si="197"/>
        <v>0</v>
      </c>
      <c r="CD203" s="90" t="e">
        <f t="shared" si="197"/>
        <v>#REF!</v>
      </c>
      <c r="CE203" s="66"/>
      <c r="CF203" s="90">
        <f t="shared" ref="CF203" si="199">SUM(CF198:CF202)</f>
        <v>0</v>
      </c>
      <c r="CG203" s="90"/>
      <c r="CH203" s="90">
        <f t="shared" ref="CH203:CT203" si="200">SUM(CH198:CH202)</f>
        <v>0</v>
      </c>
      <c r="CI203" s="90"/>
      <c r="CJ203" s="90"/>
      <c r="CK203" s="90"/>
      <c r="CL203" s="90"/>
      <c r="CM203" s="90"/>
      <c r="CN203" s="90"/>
      <c r="CO203" s="90" t="e">
        <f t="shared" ref="CO203" si="201">SUM(CO198:CO202)</f>
        <v>#REF!</v>
      </c>
      <c r="CP203" s="90">
        <f t="shared" si="200"/>
        <v>0</v>
      </c>
      <c r="CQ203" s="90">
        <f t="shared" si="200"/>
        <v>0</v>
      </c>
      <c r="CR203" s="90">
        <f t="shared" si="200"/>
        <v>0</v>
      </c>
      <c r="CS203" s="90">
        <f t="shared" si="200"/>
        <v>0</v>
      </c>
      <c r="CT203" s="90" t="e">
        <f t="shared" si="200"/>
        <v>#REF!</v>
      </c>
      <c r="CU203" s="66"/>
      <c r="CV203" s="90">
        <f t="shared" ref="CV203" si="202">SUM(CV198:CV202)</f>
        <v>0</v>
      </c>
      <c r="CW203" s="90"/>
      <c r="CX203" s="90">
        <f t="shared" ref="CX203:DJ203" si="203">SUM(CX198:CX202)</f>
        <v>0</v>
      </c>
      <c r="CY203" s="90"/>
      <c r="CZ203" s="90"/>
      <c r="DA203" s="90"/>
      <c r="DB203" s="90"/>
      <c r="DC203" s="90"/>
      <c r="DD203" s="90"/>
      <c r="DE203" s="90" t="e">
        <f t="shared" ref="DE203" si="204">SUM(DE198:DE202)</f>
        <v>#REF!</v>
      </c>
      <c r="DF203" s="90">
        <f t="shared" si="203"/>
        <v>0</v>
      </c>
      <c r="DG203" s="90">
        <f t="shared" si="203"/>
        <v>0</v>
      </c>
      <c r="DH203" s="90">
        <f t="shared" si="203"/>
        <v>0</v>
      </c>
      <c r="DI203" s="90">
        <f t="shared" si="203"/>
        <v>0</v>
      </c>
      <c r="DJ203" s="90" t="e">
        <f t="shared" si="203"/>
        <v>#REF!</v>
      </c>
      <c r="DK203" s="66"/>
      <c r="DL203" s="90">
        <f t="shared" ref="DL203" si="205">SUM(DL198:DL202)</f>
        <v>0</v>
      </c>
      <c r="DM203" s="90"/>
      <c r="DN203" s="90">
        <f t="shared" ref="DN203" si="206">SUM(DN198:DN202)</f>
        <v>0</v>
      </c>
      <c r="DO203" s="90"/>
      <c r="DP203" s="90"/>
      <c r="DQ203" s="90"/>
      <c r="DR203" s="90"/>
      <c r="DS203" s="90"/>
      <c r="DT203" s="90"/>
      <c r="DU203" s="90" t="e">
        <f t="shared" ref="DU203:DZ203" si="207">SUM(DU198:DU202)</f>
        <v>#REF!</v>
      </c>
      <c r="DV203" s="90">
        <f t="shared" si="207"/>
        <v>0</v>
      </c>
      <c r="DW203" s="90">
        <f t="shared" si="207"/>
        <v>0</v>
      </c>
      <c r="DX203" s="90">
        <f t="shared" si="207"/>
        <v>0</v>
      </c>
      <c r="DY203" s="90">
        <f t="shared" si="207"/>
        <v>0</v>
      </c>
      <c r="DZ203" s="90" t="e">
        <f t="shared" si="207"/>
        <v>#REF!</v>
      </c>
      <c r="EA203" s="66"/>
    </row>
    <row r="204" spans="2:131" x14ac:dyDescent="0.2">
      <c r="B204" s="54"/>
      <c r="C204" s="54"/>
      <c r="D204" s="54"/>
      <c r="E204" s="57"/>
      <c r="F204" s="54"/>
      <c r="G204" s="54"/>
      <c r="H204" s="54"/>
      <c r="I204" s="54"/>
      <c r="J204" s="54"/>
      <c r="K204" s="107"/>
      <c r="L204" s="54"/>
      <c r="M204" s="54"/>
      <c r="N204" s="54"/>
      <c r="O204" s="54"/>
      <c r="P204" s="54"/>
      <c r="Q204" s="54"/>
      <c r="R204" s="54"/>
      <c r="S204" s="54"/>
      <c r="T204" s="54"/>
      <c r="U204" s="54"/>
      <c r="V204" s="54"/>
      <c r="W204" s="54"/>
      <c r="X204" s="54"/>
      <c r="Y204" s="54"/>
      <c r="Z204" s="54"/>
      <c r="AA204" s="54"/>
      <c r="AB204" s="54"/>
      <c r="AC204" s="34"/>
      <c r="AD204" s="35"/>
      <c r="AE204" s="34"/>
      <c r="AF204" s="34"/>
      <c r="AG204" s="55"/>
      <c r="AH204" s="55"/>
      <c r="AI204" s="55"/>
      <c r="AJ204" s="34"/>
      <c r="AK204" s="55"/>
      <c r="AL204" s="55"/>
      <c r="AM204" s="54"/>
      <c r="AN204" s="54"/>
      <c r="AO204" s="55"/>
      <c r="AP204" s="55"/>
      <c r="AQ204" s="55"/>
      <c r="AR204" s="54"/>
      <c r="AS204" s="54"/>
      <c r="AT204" s="54"/>
      <c r="AU204" s="54"/>
      <c r="AV204" s="54"/>
      <c r="AW204" s="55">
        <f>SUM(AP204:AV204)</f>
        <v>0</v>
      </c>
      <c r="AX204" s="66"/>
      <c r="AY204" s="55">
        <f t="shared" ref="AY204" si="208">SUM(AR204:AX204)</f>
        <v>0</v>
      </c>
      <c r="AZ204" s="55"/>
      <c r="BA204" s="55">
        <f>SUM(AS204:AY204)</f>
        <v>0</v>
      </c>
      <c r="BB204" s="55"/>
      <c r="BC204" s="55"/>
      <c r="BD204" s="55"/>
      <c r="BE204" s="55"/>
      <c r="BF204" s="55"/>
      <c r="BG204" s="55"/>
      <c r="BH204" s="55">
        <f>SUM(AT204:BA204)</f>
        <v>0</v>
      </c>
      <c r="BI204" s="55">
        <f>SUM(AU204:BH204)</f>
        <v>0</v>
      </c>
      <c r="BJ204" s="55">
        <f>SUM(AV204:BI204)</f>
        <v>0</v>
      </c>
      <c r="BK204" s="55">
        <f>SUM(AW204:BJ204)</f>
        <v>0</v>
      </c>
      <c r="BL204" s="55">
        <f>SUM(AX204:BK204)</f>
        <v>0</v>
      </c>
      <c r="BM204" s="55">
        <f>SUM(AY204:BL204)</f>
        <v>0</v>
      </c>
      <c r="BN204" s="66"/>
      <c r="BO204" s="55">
        <f t="shared" ref="BO204" si="209">SUM(BH204:BN204)</f>
        <v>0</v>
      </c>
      <c r="BP204" s="55"/>
      <c r="BQ204" s="55">
        <f t="shared" ref="BQ204" si="210">SUM(BI204:BO204)</f>
        <v>0</v>
      </c>
      <c r="BR204" s="55"/>
      <c r="BS204" s="55"/>
      <c r="BT204" s="55"/>
      <c r="BU204" s="55"/>
      <c r="BV204" s="55"/>
      <c r="BW204" s="55"/>
      <c r="BX204" s="55"/>
      <c r="BY204" s="55">
        <f>SUM(BJ204:BQ204)</f>
        <v>0</v>
      </c>
      <c r="BZ204" s="55">
        <f>SUM(BK204:BY204)</f>
        <v>0</v>
      </c>
      <c r="CA204" s="55">
        <f>SUM(BL204:BZ204)</f>
        <v>0</v>
      </c>
      <c r="CB204" s="55">
        <f>SUM(BM204:CA204)</f>
        <v>0</v>
      </c>
      <c r="CC204" s="55">
        <f>SUM(BN204:CB204)</f>
        <v>0</v>
      </c>
      <c r="CD204" s="55">
        <f>SUM(BO204:CC204)</f>
        <v>0</v>
      </c>
      <c r="CE204" s="66"/>
      <c r="CF204" s="55">
        <f t="shared" ref="CF204" si="211">SUM(BY204:CE204)</f>
        <v>0</v>
      </c>
      <c r="CG204" s="55"/>
      <c r="CH204" s="55">
        <f t="shared" ref="CH204" si="212">SUM(BZ204:CF204)</f>
        <v>0</v>
      </c>
      <c r="CI204" s="55"/>
      <c r="CJ204" s="55"/>
      <c r="CK204" s="55"/>
      <c r="CL204" s="55"/>
      <c r="CM204" s="55"/>
      <c r="CN204" s="55"/>
      <c r="CO204" s="55">
        <f>SUM(CA204:CH204)</f>
        <v>0</v>
      </c>
      <c r="CP204" s="55">
        <f t="shared" ref="CP204:CT204" si="213">SUM(CB204:CO204)</f>
        <v>0</v>
      </c>
      <c r="CQ204" s="55">
        <f t="shared" si="213"/>
        <v>0</v>
      </c>
      <c r="CR204" s="55">
        <f t="shared" si="213"/>
        <v>0</v>
      </c>
      <c r="CS204" s="55">
        <f t="shared" si="213"/>
        <v>0</v>
      </c>
      <c r="CT204" s="55">
        <f t="shared" si="213"/>
        <v>0</v>
      </c>
      <c r="CU204" s="66"/>
      <c r="CV204" s="55">
        <f t="shared" ref="CV204" si="214">SUM(CO204:CU204)</f>
        <v>0</v>
      </c>
      <c r="CW204" s="55"/>
      <c r="CX204" s="55">
        <f t="shared" ref="CX204" si="215">SUM(CP204:CV204)</f>
        <v>0</v>
      </c>
      <c r="CY204" s="55"/>
      <c r="CZ204" s="55"/>
      <c r="DA204" s="55"/>
      <c r="DB204" s="55"/>
      <c r="DC204" s="55"/>
      <c r="DD204" s="55"/>
      <c r="DE204" s="55">
        <f>SUM(CQ204:CX204)</f>
        <v>0</v>
      </c>
      <c r="DF204" s="55">
        <f t="shared" ref="DF204:DJ204" si="216">SUM(CR204:DE204)</f>
        <v>0</v>
      </c>
      <c r="DG204" s="55">
        <f t="shared" si="216"/>
        <v>0</v>
      </c>
      <c r="DH204" s="55">
        <f t="shared" si="216"/>
        <v>0</v>
      </c>
      <c r="DI204" s="55">
        <f t="shared" si="216"/>
        <v>0</v>
      </c>
      <c r="DJ204" s="55">
        <f t="shared" si="216"/>
        <v>0</v>
      </c>
      <c r="DK204" s="66"/>
      <c r="DL204" s="55">
        <f t="shared" ref="DL204" si="217">SUM(DE204:DK204)</f>
        <v>0</v>
      </c>
      <c r="DM204" s="55"/>
      <c r="DN204" s="55">
        <f t="shared" ref="DN204" si="218">SUM(DF204:DL204)</f>
        <v>0</v>
      </c>
      <c r="DO204" s="55"/>
      <c r="DP204" s="55"/>
      <c r="DQ204" s="55"/>
      <c r="DR204" s="55"/>
      <c r="DS204" s="55"/>
      <c r="DT204" s="55"/>
      <c r="DU204" s="55">
        <f>SUM(DG204:DN204)</f>
        <v>0</v>
      </c>
      <c r="DV204" s="55">
        <f t="shared" ref="DV204" si="219">SUM(DH204:DU204)</f>
        <v>0</v>
      </c>
      <c r="DW204" s="55">
        <f t="shared" ref="DW204" si="220">SUM(DI204:DV204)</f>
        <v>0</v>
      </c>
      <c r="DX204" s="55">
        <f t="shared" ref="DX204" si="221">SUM(DJ204:DW204)</f>
        <v>0</v>
      </c>
      <c r="DY204" s="55">
        <f t="shared" ref="DY204" si="222">SUM(DK204:DX204)</f>
        <v>0</v>
      </c>
      <c r="DZ204" s="55">
        <f t="shared" ref="DZ204" si="223">SUM(DL204:DY204)</f>
        <v>0</v>
      </c>
      <c r="EA204" s="66"/>
    </row>
    <row r="205" spans="2:131" x14ac:dyDescent="0.2">
      <c r="B205" s="186" t="s">
        <v>302</v>
      </c>
      <c r="C205" s="91"/>
      <c r="D205" s="91"/>
      <c r="E205" s="92"/>
      <c r="F205" s="91"/>
      <c r="G205" s="91"/>
      <c r="H205" s="91"/>
      <c r="I205" s="91"/>
      <c r="J205" s="91"/>
      <c r="K205" s="113"/>
      <c r="L205" s="91"/>
      <c r="M205" s="91"/>
      <c r="N205" s="91"/>
      <c r="O205" s="91"/>
      <c r="P205" s="91"/>
      <c r="Q205" s="91"/>
      <c r="R205" s="91"/>
      <c r="S205" s="91"/>
      <c r="T205" s="93">
        <f>+T203-T186</f>
        <v>33058480.639951229</v>
      </c>
      <c r="U205" s="93"/>
      <c r="V205" s="93">
        <f>+V203-V186</f>
        <v>29273444.639951169</v>
      </c>
      <c r="W205" s="91"/>
      <c r="X205" s="91"/>
      <c r="Y205" s="91"/>
      <c r="Z205" s="91"/>
      <c r="AA205" s="93"/>
      <c r="AB205" s="93"/>
      <c r="AC205" s="94">
        <f t="shared" ref="AC205:AW205" si="224">+AC203-AC186</f>
        <v>-5841237.1219512196</v>
      </c>
      <c r="AD205" s="15" t="e">
        <f t="shared" si="224"/>
        <v>#REF!</v>
      </c>
      <c r="AE205" s="94">
        <f t="shared" si="224"/>
        <v>-900000</v>
      </c>
      <c r="AF205" s="94">
        <f t="shared" si="224"/>
        <v>-7413944.8400000008</v>
      </c>
      <c r="AG205" s="94">
        <f t="shared" si="224"/>
        <v>-2200000</v>
      </c>
      <c r="AH205" s="94">
        <f t="shared" si="224"/>
        <v>-2992000</v>
      </c>
      <c r="AI205" s="94">
        <f t="shared" si="224"/>
        <v>9759390.795121951</v>
      </c>
      <c r="AJ205" s="94">
        <f t="shared" si="224"/>
        <v>-4500000</v>
      </c>
      <c r="AK205" s="94">
        <f t="shared" si="224"/>
        <v>5300000</v>
      </c>
      <c r="AL205" s="94">
        <f t="shared" si="224"/>
        <v>5000945</v>
      </c>
      <c r="AM205" s="95"/>
      <c r="AN205" s="95"/>
      <c r="AO205" s="94">
        <f t="shared" si="224"/>
        <v>-14543740</v>
      </c>
      <c r="AP205" s="95" t="e">
        <f t="shared" si="224"/>
        <v>#REF!</v>
      </c>
      <c r="AQ205" s="95">
        <f t="shared" si="224"/>
        <v>4394000</v>
      </c>
      <c r="AR205" s="95">
        <f t="shared" si="224"/>
        <v>-2400000</v>
      </c>
      <c r="AS205" s="95">
        <f t="shared" si="224"/>
        <v>-4600000</v>
      </c>
      <c r="AT205" s="95">
        <f t="shared" si="224"/>
        <v>565666</v>
      </c>
      <c r="AU205" s="95">
        <f t="shared" si="224"/>
        <v>-1500000</v>
      </c>
      <c r="AV205" s="95">
        <f t="shared" si="224"/>
        <v>0</v>
      </c>
      <c r="AW205" s="95" t="e">
        <f t="shared" si="224"/>
        <v>#REF!</v>
      </c>
      <c r="AX205" s="66"/>
      <c r="AY205" s="95">
        <f t="shared" ref="AY205:BL205" si="225">+AY203-AY186</f>
        <v>-329803312.57592678</v>
      </c>
      <c r="AZ205" s="95">
        <f t="shared" si="225"/>
        <v>-6665140</v>
      </c>
      <c r="BA205" s="95">
        <f t="shared" si="225"/>
        <v>-4950514.4362888411</v>
      </c>
      <c r="BB205" s="95" t="e">
        <f t="shared" si="225"/>
        <v>#REF!</v>
      </c>
      <c r="BC205" s="95" t="e">
        <f t="shared" si="225"/>
        <v>#REF!</v>
      </c>
      <c r="BD205" s="95" t="e">
        <f t="shared" si="225"/>
        <v>#REF!</v>
      </c>
      <c r="BE205" s="95">
        <f t="shared" si="225"/>
        <v>0</v>
      </c>
      <c r="BF205" s="95">
        <f t="shared" si="225"/>
        <v>0</v>
      </c>
      <c r="BG205" s="95">
        <f t="shared" si="225"/>
        <v>11174589</v>
      </c>
      <c r="BH205" s="95" t="e">
        <f>+BH203-BH186</f>
        <v>#REF!</v>
      </c>
      <c r="BI205" s="95" t="e">
        <f t="shared" si="225"/>
        <v>#REF!</v>
      </c>
      <c r="BJ205" s="95">
        <f t="shared" si="225"/>
        <v>0</v>
      </c>
      <c r="BK205" s="95">
        <f t="shared" si="225"/>
        <v>-144872</v>
      </c>
      <c r="BL205" s="95">
        <f t="shared" si="225"/>
        <v>0</v>
      </c>
      <c r="BM205" s="95" t="e">
        <f>+BM203-BM186</f>
        <v>#REF!</v>
      </c>
      <c r="BN205" s="66"/>
      <c r="BO205" s="95" t="e">
        <f t="shared" ref="BO205:CD205" si="226">+BO203-BO186</f>
        <v>#REF!</v>
      </c>
      <c r="BP205" s="95">
        <f t="shared" si="226"/>
        <v>0</v>
      </c>
      <c r="BQ205" s="95" t="e">
        <f t="shared" si="226"/>
        <v>#REF!</v>
      </c>
      <c r="BR205" s="95" t="e">
        <f t="shared" si="226"/>
        <v>#REF!</v>
      </c>
      <c r="BS205" s="95" t="e">
        <f t="shared" si="226"/>
        <v>#REF!</v>
      </c>
      <c r="BT205" s="95" t="e">
        <f t="shared" si="226"/>
        <v>#REF!</v>
      </c>
      <c r="BU205" s="95">
        <f t="shared" si="226"/>
        <v>0</v>
      </c>
      <c r="BV205" s="95">
        <f t="shared" si="226"/>
        <v>0</v>
      </c>
      <c r="BW205" s="95">
        <f t="shared" si="226"/>
        <v>10543161</v>
      </c>
      <c r="BX205" s="95"/>
      <c r="BY205" s="95" t="e">
        <f t="shared" si="226"/>
        <v>#REF!</v>
      </c>
      <c r="BZ205" s="95" t="e">
        <f t="shared" si="226"/>
        <v>#REF!</v>
      </c>
      <c r="CA205" s="95">
        <f t="shared" si="226"/>
        <v>0</v>
      </c>
      <c r="CB205" s="95">
        <f t="shared" si="226"/>
        <v>-3426847</v>
      </c>
      <c r="CC205" s="95">
        <f t="shared" si="226"/>
        <v>0</v>
      </c>
      <c r="CD205" s="95" t="e">
        <f t="shared" si="226"/>
        <v>#REF!</v>
      </c>
      <c r="CE205" s="66"/>
      <c r="CF205" s="95" t="e">
        <f t="shared" ref="CF205:CT205" si="227">+CF203-CF186</f>
        <v>#REF!</v>
      </c>
      <c r="CG205" s="95">
        <f t="shared" si="227"/>
        <v>0</v>
      </c>
      <c r="CH205" s="95" t="e">
        <f t="shared" si="227"/>
        <v>#REF!</v>
      </c>
      <c r="CI205" s="95" t="e">
        <f t="shared" si="227"/>
        <v>#REF!</v>
      </c>
      <c r="CJ205" s="95" t="e">
        <f t="shared" si="227"/>
        <v>#REF!</v>
      </c>
      <c r="CK205" s="95" t="e">
        <f t="shared" si="227"/>
        <v>#REF!</v>
      </c>
      <c r="CL205" s="95">
        <f t="shared" si="227"/>
        <v>0</v>
      </c>
      <c r="CM205" s="95">
        <f t="shared" si="227"/>
        <v>0</v>
      </c>
      <c r="CN205" s="95">
        <f t="shared" si="227"/>
        <v>4549677</v>
      </c>
      <c r="CO205" s="95" t="e">
        <f t="shared" si="227"/>
        <v>#REF!</v>
      </c>
      <c r="CP205" s="95" t="e">
        <f t="shared" si="227"/>
        <v>#REF!</v>
      </c>
      <c r="CQ205" s="95">
        <f t="shared" si="227"/>
        <v>0</v>
      </c>
      <c r="CR205" s="95">
        <f t="shared" si="227"/>
        <v>-3485102</v>
      </c>
      <c r="CS205" s="95">
        <f t="shared" si="227"/>
        <v>0</v>
      </c>
      <c r="CT205" s="95" t="e">
        <f t="shared" si="227"/>
        <v>#REF!</v>
      </c>
      <c r="CU205" s="66"/>
      <c r="CV205" s="95" t="e">
        <f t="shared" ref="CV205:DJ205" si="228">+CV203-CV186</f>
        <v>#REF!</v>
      </c>
      <c r="CW205" s="95">
        <f t="shared" si="228"/>
        <v>0</v>
      </c>
      <c r="CX205" s="95" t="e">
        <f t="shared" si="228"/>
        <v>#REF!</v>
      </c>
      <c r="CY205" s="95" t="e">
        <f t="shared" si="228"/>
        <v>#REF!</v>
      </c>
      <c r="CZ205" s="95" t="e">
        <f t="shared" si="228"/>
        <v>#REF!</v>
      </c>
      <c r="DA205" s="95" t="e">
        <f t="shared" si="228"/>
        <v>#REF!</v>
      </c>
      <c r="DB205" s="95">
        <f t="shared" si="228"/>
        <v>0</v>
      </c>
      <c r="DC205" s="95">
        <f t="shared" si="228"/>
        <v>0</v>
      </c>
      <c r="DD205" s="95">
        <f t="shared" si="228"/>
        <v>6105573</v>
      </c>
      <c r="DE205" s="95" t="e">
        <f t="shared" si="228"/>
        <v>#REF!</v>
      </c>
      <c r="DF205" s="95" t="e">
        <f t="shared" si="228"/>
        <v>#REF!</v>
      </c>
      <c r="DG205" s="95">
        <f t="shared" si="228"/>
        <v>0</v>
      </c>
      <c r="DH205" s="95">
        <f t="shared" si="228"/>
        <v>-3420351</v>
      </c>
      <c r="DI205" s="95">
        <f t="shared" si="228"/>
        <v>0</v>
      </c>
      <c r="DJ205" s="95" t="e">
        <f t="shared" si="228"/>
        <v>#REF!</v>
      </c>
      <c r="DK205" s="66"/>
      <c r="DL205" s="95" t="e">
        <f t="shared" ref="DL205:DZ205" si="229">+DL203-DL186</f>
        <v>#REF!</v>
      </c>
      <c r="DM205" s="95">
        <f t="shared" si="229"/>
        <v>0</v>
      </c>
      <c r="DN205" s="95" t="e">
        <f t="shared" si="229"/>
        <v>#REF!</v>
      </c>
      <c r="DO205" s="95" t="e">
        <f t="shared" si="229"/>
        <v>#REF!</v>
      </c>
      <c r="DP205" s="95" t="e">
        <f t="shared" si="229"/>
        <v>#REF!</v>
      </c>
      <c r="DQ205" s="95" t="e">
        <f t="shared" si="229"/>
        <v>#REF!</v>
      </c>
      <c r="DR205" s="95">
        <f t="shared" si="229"/>
        <v>0</v>
      </c>
      <c r="DS205" s="95">
        <f t="shared" si="229"/>
        <v>0</v>
      </c>
      <c r="DT205" s="95">
        <f t="shared" si="229"/>
        <v>6572929</v>
      </c>
      <c r="DU205" s="95" t="e">
        <f t="shared" si="229"/>
        <v>#REF!</v>
      </c>
      <c r="DV205" s="95" t="e">
        <f t="shared" si="229"/>
        <v>#REF!</v>
      </c>
      <c r="DW205" s="95">
        <f t="shared" si="229"/>
        <v>0</v>
      </c>
      <c r="DX205" s="95">
        <f t="shared" si="229"/>
        <v>-3478496</v>
      </c>
      <c r="DY205" s="95">
        <f t="shared" si="229"/>
        <v>0</v>
      </c>
      <c r="DZ205" s="95" t="e">
        <f t="shared" si="229"/>
        <v>#REF!</v>
      </c>
      <c r="EA205" s="66"/>
    </row>
    <row r="206" spans="2:131" x14ac:dyDescent="0.2">
      <c r="B206" s="59"/>
      <c r="C206" s="54"/>
      <c r="D206" s="54"/>
      <c r="E206" s="57"/>
      <c r="F206" s="54"/>
      <c r="G206" s="54"/>
      <c r="H206" s="54"/>
      <c r="I206" s="54"/>
      <c r="J206" s="54"/>
      <c r="K206" s="107"/>
      <c r="L206" s="54"/>
      <c r="M206" s="54"/>
      <c r="N206" s="54"/>
      <c r="O206" s="54"/>
      <c r="P206" s="54"/>
      <c r="Q206" s="54"/>
      <c r="R206" s="54"/>
      <c r="S206" s="54"/>
      <c r="T206" s="55"/>
      <c r="U206" s="55"/>
      <c r="V206" s="55"/>
      <c r="W206" s="54"/>
      <c r="X206" s="54"/>
      <c r="Y206" s="54"/>
      <c r="Z206" s="54"/>
      <c r="AA206" s="55"/>
      <c r="AB206" s="55"/>
      <c r="AC206" s="55"/>
      <c r="AD206" s="127"/>
      <c r="AE206" s="55"/>
      <c r="AF206" s="55"/>
      <c r="AG206" s="55"/>
      <c r="AH206" s="55"/>
      <c r="AI206" s="55"/>
      <c r="AJ206" s="55"/>
      <c r="AK206" s="55"/>
      <c r="AL206" s="55"/>
      <c r="AM206" s="145"/>
      <c r="AN206" s="145"/>
      <c r="AO206" s="145"/>
      <c r="AP206" s="145"/>
      <c r="AQ206" s="145"/>
      <c r="AR206" s="145"/>
      <c r="AS206" s="145"/>
      <c r="AT206" s="145"/>
      <c r="AU206" s="145"/>
      <c r="AV206" s="145"/>
      <c r="AW206" s="145">
        <v>0</v>
      </c>
      <c r="AX206" s="114"/>
      <c r="AY206" s="146">
        <f>+AP186-AY186-AC186</f>
        <v>6.2398612499237061E-8</v>
      </c>
      <c r="AZ206" s="146"/>
      <c r="BB206" s="114"/>
      <c r="BC206" s="114"/>
      <c r="BD206" s="114"/>
      <c r="BE206" s="114"/>
      <c r="BF206" s="114"/>
      <c r="BG206" s="114"/>
      <c r="BH206" s="114"/>
      <c r="BI206" s="114"/>
      <c r="BJ206" s="114"/>
      <c r="BK206" s="114"/>
      <c r="BL206" s="114"/>
      <c r="BM206" s="146"/>
      <c r="BN206" s="114"/>
      <c r="BO206" s="146" t="e">
        <f>+BO186-BH186+BA186</f>
        <v>#REF!</v>
      </c>
      <c r="BP206" s="146"/>
      <c r="BY206" s="114"/>
      <c r="CF206" s="146" t="e">
        <f>+CF186-BY186+BQ186</f>
        <v>#REF!</v>
      </c>
      <c r="CG206" s="146"/>
      <c r="CO206" s="114"/>
      <c r="CV206" s="146" t="e">
        <f>+CV186-CO186+CH186</f>
        <v>#REF!</v>
      </c>
      <c r="CW206" s="146"/>
      <c r="DE206" s="114"/>
    </row>
    <row r="207" spans="2:131" x14ac:dyDescent="0.2">
      <c r="B207" s="59"/>
      <c r="C207" s="54" t="s">
        <v>409</v>
      </c>
      <c r="D207" s="54"/>
      <c r="E207" s="57"/>
      <c r="F207" s="54"/>
      <c r="G207" s="54"/>
      <c r="H207" s="54"/>
      <c r="I207" s="54"/>
      <c r="J207" s="54"/>
      <c r="K207" s="107"/>
      <c r="L207" s="54"/>
      <c r="M207" s="54"/>
      <c r="N207" s="54"/>
      <c r="O207" s="54"/>
      <c r="P207" s="54"/>
      <c r="Q207" s="54"/>
      <c r="R207" s="54"/>
      <c r="S207" s="54"/>
      <c r="T207" s="55"/>
      <c r="U207" s="55"/>
      <c r="V207" s="55"/>
      <c r="W207" s="54"/>
      <c r="X207" s="54"/>
      <c r="Y207" s="54"/>
      <c r="Z207" s="54"/>
      <c r="AA207" s="55"/>
      <c r="AB207" s="55"/>
      <c r="AC207" s="55"/>
      <c r="AD207" s="127"/>
      <c r="AE207" s="55"/>
      <c r="AF207" s="55"/>
      <c r="AG207" s="55"/>
      <c r="AH207" s="55"/>
      <c r="AI207" s="55"/>
      <c r="AJ207" s="55"/>
      <c r="AK207" s="55"/>
      <c r="AL207" s="55"/>
      <c r="AM207" s="145"/>
      <c r="AN207" s="145"/>
      <c r="AO207" s="145"/>
      <c r="AP207" s="145">
        <f>(+AP188)*0.02</f>
        <v>6842381.3200000003</v>
      </c>
      <c r="AQ207" s="145"/>
      <c r="AR207" s="145"/>
      <c r="AS207" s="145"/>
      <c r="AT207" s="145"/>
      <c r="AU207" s="145"/>
      <c r="AV207" s="145"/>
      <c r="AW207" s="145"/>
      <c r="AX207" s="114"/>
      <c r="AY207" s="114"/>
      <c r="AZ207" s="114"/>
      <c r="BA207" s="114"/>
      <c r="BB207" s="114"/>
      <c r="BC207" s="114"/>
      <c r="BD207" s="114"/>
      <c r="BE207" s="114"/>
      <c r="BF207" s="114"/>
      <c r="BG207" s="114"/>
      <c r="BH207" s="145" t="e">
        <f>(+BH188+BH189+BH191)*0.025</f>
        <v>#REF!</v>
      </c>
      <c r="BI207" s="114"/>
      <c r="BJ207" s="114"/>
      <c r="BK207" s="114"/>
      <c r="BL207" s="114"/>
      <c r="BM207" s="145" t="e">
        <f>+BH207/2.5</f>
        <v>#REF!</v>
      </c>
      <c r="BN207" s="114"/>
      <c r="BY207" s="145" t="e">
        <f>(+BY188+BY189)*0.02</f>
        <v>#REF!</v>
      </c>
      <c r="CD207" s="145" t="e">
        <f>+BY207/2</f>
        <v>#REF!</v>
      </c>
      <c r="CO207" s="145" t="e">
        <f>(+CO188+CO189+CO191)*0.02</f>
        <v>#REF!</v>
      </c>
      <c r="CT207" s="145" t="e">
        <f>+CO207/2</f>
        <v>#REF!</v>
      </c>
      <c r="DE207" s="145" t="e">
        <f>(+DE188+DE189+DE191)*0.02</f>
        <v>#REF!</v>
      </c>
      <c r="DJ207" s="145" t="e">
        <f>+DE207/2</f>
        <v>#REF!</v>
      </c>
      <c r="DU207" s="145" t="e">
        <f>(+DU188+DU189+DU191)*0.02</f>
        <v>#REF!</v>
      </c>
      <c r="DZ207" s="145" t="e">
        <f>+DU207/2</f>
        <v>#REF!</v>
      </c>
    </row>
    <row r="208" spans="2:131" x14ac:dyDescent="0.2">
      <c r="B208" s="59"/>
      <c r="C208" s="54" t="s">
        <v>410</v>
      </c>
      <c r="D208" s="54"/>
      <c r="E208" s="57"/>
      <c r="F208" s="54"/>
      <c r="G208" s="54"/>
      <c r="H208" s="54"/>
      <c r="I208" s="54"/>
      <c r="J208" s="54"/>
      <c r="K208" s="107"/>
      <c r="L208" s="54"/>
      <c r="M208" s="54"/>
      <c r="N208" s="54"/>
      <c r="O208" s="54"/>
      <c r="P208" s="54"/>
      <c r="Q208" s="54"/>
      <c r="R208" s="54"/>
      <c r="S208" s="54"/>
      <c r="T208" s="55"/>
      <c r="U208" s="55"/>
      <c r="V208" s="55"/>
      <c r="W208" s="54"/>
      <c r="X208" s="54"/>
      <c r="Y208" s="54"/>
      <c r="Z208" s="54"/>
      <c r="AA208" s="55"/>
      <c r="AB208" s="55"/>
      <c r="AC208" s="55"/>
      <c r="AD208" s="127"/>
      <c r="AE208" s="55"/>
      <c r="AF208" s="55"/>
      <c r="AG208" s="55"/>
      <c r="AH208" s="55"/>
      <c r="AI208" s="55"/>
      <c r="AJ208" s="55"/>
      <c r="AK208" s="55"/>
      <c r="AL208" s="55"/>
      <c r="AM208" s="145"/>
      <c r="AN208" s="145"/>
      <c r="AO208" s="145"/>
      <c r="AP208" s="145" t="e">
        <f>+AP205-AP207</f>
        <v>#REF!</v>
      </c>
      <c r="AQ208" s="145"/>
      <c r="AR208" s="145"/>
      <c r="AS208" s="145"/>
      <c r="AT208" s="145"/>
      <c r="AU208" s="145"/>
      <c r="AV208" s="145"/>
      <c r="AW208" s="145"/>
      <c r="AX208" s="114"/>
      <c r="AY208" s="114"/>
      <c r="AZ208" s="114"/>
      <c r="BA208" s="114"/>
      <c r="BB208" s="114"/>
      <c r="BC208" s="114"/>
      <c r="BD208" s="114"/>
      <c r="BE208" s="114"/>
      <c r="BF208" s="114"/>
      <c r="BG208" s="114"/>
      <c r="BH208" s="145" t="e">
        <f>+BH205-BH207</f>
        <v>#REF!</v>
      </c>
      <c r="BI208" s="114"/>
      <c r="BJ208" s="114"/>
      <c r="BK208" s="114"/>
      <c r="BL208" s="114"/>
      <c r="BM208" s="145" t="e">
        <f>+BM205-BM207</f>
        <v>#REF!</v>
      </c>
      <c r="BN208" s="114"/>
      <c r="BY208" s="145" t="e">
        <f>+BY205-BY207</f>
        <v>#REF!</v>
      </c>
      <c r="CD208" s="145" t="e">
        <f>+CD205-CD207</f>
        <v>#REF!</v>
      </c>
      <c r="CO208" s="145" t="e">
        <f>+CO205-CO207</f>
        <v>#REF!</v>
      </c>
      <c r="CT208" s="145" t="e">
        <f>+CT205-CT207</f>
        <v>#REF!</v>
      </c>
      <c r="DE208" s="145" t="e">
        <f>+DE205-DE207</f>
        <v>#REF!</v>
      </c>
      <c r="DJ208" s="145" t="e">
        <f>+DJ205-DJ207</f>
        <v>#REF!</v>
      </c>
      <c r="DU208" s="145" t="e">
        <f>+DU205-DU207</f>
        <v>#REF!</v>
      </c>
      <c r="DZ208" s="145" t="e">
        <f>+DZ205-DZ207</f>
        <v>#REF!</v>
      </c>
    </row>
    <row r="209" spans="2:130" x14ac:dyDescent="0.2">
      <c r="B209" s="59"/>
      <c r="C209" s="54"/>
      <c r="D209" s="54"/>
      <c r="E209" s="57"/>
      <c r="F209" s="54"/>
      <c r="G209" s="54"/>
      <c r="H209" s="54"/>
      <c r="I209" s="54"/>
      <c r="J209" s="54"/>
      <c r="K209" s="107"/>
      <c r="L209" s="54"/>
      <c r="M209" s="54"/>
      <c r="N209" s="54"/>
      <c r="O209" s="54"/>
      <c r="P209" s="54"/>
      <c r="Q209" s="54"/>
      <c r="R209" s="54"/>
      <c r="S209" s="54"/>
      <c r="T209" s="55"/>
      <c r="U209" s="55"/>
      <c r="V209" s="55"/>
      <c r="W209" s="54"/>
      <c r="X209" s="54"/>
      <c r="Y209" s="54"/>
      <c r="Z209" s="54"/>
      <c r="AA209" s="55"/>
      <c r="AB209" s="55"/>
      <c r="AC209" s="55"/>
      <c r="AD209" s="127"/>
      <c r="AE209" s="55"/>
      <c r="AF209" s="55"/>
      <c r="AG209" s="55"/>
      <c r="AH209" s="55"/>
      <c r="AI209" s="55"/>
      <c r="AJ209" s="55"/>
      <c r="AK209" s="55"/>
      <c r="AL209" s="55"/>
      <c r="AM209" s="145"/>
      <c r="AN209" s="145"/>
      <c r="AO209" s="145"/>
      <c r="AP209" s="145"/>
      <c r="AQ209" s="145"/>
      <c r="AR209" s="145"/>
      <c r="AS209" s="145"/>
      <c r="AT209" s="145"/>
      <c r="AU209" s="145"/>
      <c r="AV209" s="145"/>
      <c r="AW209" s="145"/>
      <c r="AX209" s="114"/>
      <c r="AY209" s="114"/>
      <c r="AZ209" s="114"/>
      <c r="BA209" s="114"/>
      <c r="BB209" s="114"/>
      <c r="BC209" s="114"/>
      <c r="BD209" s="114"/>
      <c r="BE209" s="114"/>
      <c r="BF209" s="114"/>
      <c r="BG209" s="114"/>
      <c r="BH209" s="114"/>
      <c r="BI209" s="114"/>
      <c r="BJ209" s="114"/>
      <c r="BK209" s="114"/>
      <c r="BL209" s="114"/>
      <c r="BM209" s="114"/>
      <c r="BN209" s="114"/>
      <c r="BY209" s="114"/>
      <c r="CO209" s="114"/>
      <c r="DE209" s="114"/>
    </row>
    <row r="210" spans="2:130" x14ac:dyDescent="0.2">
      <c r="B210" s="59"/>
      <c r="C210" s="54" t="s">
        <v>420</v>
      </c>
      <c r="D210" s="54"/>
      <c r="E210" s="57"/>
      <c r="F210" s="54"/>
      <c r="G210" s="54"/>
      <c r="H210" s="54"/>
      <c r="I210" s="54"/>
      <c r="J210" s="54"/>
      <c r="K210" s="107"/>
      <c r="L210" s="54"/>
      <c r="M210" s="54"/>
      <c r="N210" s="54"/>
      <c r="O210" s="54"/>
      <c r="P210" s="54"/>
      <c r="Q210" s="54"/>
      <c r="R210" s="54"/>
      <c r="S210" s="54"/>
      <c r="T210" s="55"/>
      <c r="U210" s="55"/>
      <c r="V210" s="55"/>
      <c r="W210" s="54"/>
      <c r="X210" s="54"/>
      <c r="Y210" s="54"/>
      <c r="Z210" s="54"/>
      <c r="AA210" s="55"/>
      <c r="AB210" s="55"/>
      <c r="AC210" s="55"/>
      <c r="AD210" s="127"/>
      <c r="AE210" s="55"/>
      <c r="AF210" s="55"/>
      <c r="AG210" s="55"/>
      <c r="AH210" s="55"/>
      <c r="AI210" s="55"/>
      <c r="AJ210" s="55"/>
      <c r="AK210" s="55"/>
      <c r="AL210" s="55"/>
      <c r="AM210" s="145"/>
      <c r="AN210" s="145"/>
      <c r="AO210" s="145"/>
      <c r="AP210" s="145"/>
      <c r="AQ210" s="145"/>
      <c r="AR210" s="145"/>
      <c r="AS210" s="145"/>
      <c r="AT210" s="145"/>
      <c r="AU210" s="145"/>
      <c r="AV210" s="145"/>
      <c r="AW210" s="145"/>
      <c r="AX210" s="145"/>
      <c r="AZ210" s="114" t="s">
        <v>415</v>
      </c>
      <c r="BA210" s="146">
        <f>+AY186+AZ186+AC186</f>
        <v>342309689.697878</v>
      </c>
      <c r="BB210" s="114"/>
      <c r="BC210" s="114"/>
      <c r="BD210" s="114"/>
      <c r="BE210" s="114"/>
      <c r="BF210" s="114"/>
      <c r="BG210" s="114"/>
      <c r="BH210" s="114"/>
      <c r="BI210" s="114"/>
      <c r="BJ210" s="114"/>
      <c r="BK210" s="114"/>
      <c r="BL210" s="114"/>
      <c r="BM210" s="47" t="e">
        <f>+BM208-BM197</f>
        <v>#REF!</v>
      </c>
      <c r="BN210" s="114"/>
      <c r="BY210" s="114"/>
      <c r="CD210" s="47" t="e">
        <f>+CD208-CD197</f>
        <v>#REF!</v>
      </c>
      <c r="CO210" s="114"/>
      <c r="CT210" s="47" t="e">
        <f>+CT208-CT197</f>
        <v>#REF!</v>
      </c>
      <c r="DE210" s="114"/>
      <c r="DJ210" s="47" t="e">
        <f>+DJ208-DJ197</f>
        <v>#REF!</v>
      </c>
      <c r="DZ210" s="47" t="e">
        <f>+DZ208-DZ197</f>
        <v>#REF!</v>
      </c>
    </row>
    <row r="211" spans="2:130" x14ac:dyDescent="0.2">
      <c r="B211" s="59"/>
      <c r="C211" s="54"/>
      <c r="D211" s="54"/>
      <c r="E211" s="57"/>
      <c r="F211" s="54"/>
      <c r="G211" s="54"/>
      <c r="H211" s="54"/>
      <c r="I211" s="54"/>
      <c r="J211" s="54"/>
      <c r="K211" s="107"/>
      <c r="L211" s="54"/>
      <c r="M211" s="54"/>
      <c r="N211" s="54"/>
      <c r="O211" s="54"/>
      <c r="P211" s="54"/>
      <c r="Q211" s="54"/>
      <c r="R211" s="54"/>
      <c r="S211" s="54"/>
      <c r="T211" s="55"/>
      <c r="U211" s="55"/>
      <c r="V211" s="55"/>
      <c r="W211" s="54"/>
      <c r="X211" s="54"/>
      <c r="Y211" s="54"/>
      <c r="Z211" s="54"/>
      <c r="AA211" s="55"/>
      <c r="AB211" s="55"/>
      <c r="AC211" s="55"/>
      <c r="AD211" s="127"/>
      <c r="AE211" s="55"/>
      <c r="AF211" s="55"/>
      <c r="AG211" s="55"/>
      <c r="AH211" s="55"/>
      <c r="AI211" s="55"/>
      <c r="AJ211" s="55"/>
      <c r="AK211" s="55"/>
      <c r="AL211" s="55"/>
      <c r="AM211" s="145"/>
      <c r="AN211" s="145"/>
      <c r="AO211" s="145"/>
      <c r="AP211" s="145"/>
      <c r="AQ211" s="145"/>
      <c r="AR211" s="145"/>
      <c r="AS211" s="145"/>
      <c r="AT211" s="145"/>
      <c r="AU211" s="145"/>
      <c r="AV211" s="145"/>
      <c r="AW211" s="145"/>
      <c r="AX211" s="145"/>
      <c r="AZ211" s="114" t="s">
        <v>416</v>
      </c>
      <c r="BA211" s="146">
        <f>+AW196</f>
        <v>342684804.51800001</v>
      </c>
      <c r="BB211" s="114"/>
      <c r="BC211" s="114"/>
      <c r="BD211" s="114"/>
      <c r="BE211" s="114"/>
      <c r="BF211" s="114"/>
      <c r="BG211" s="114"/>
      <c r="BH211" s="114"/>
      <c r="BI211" s="114"/>
      <c r="BJ211" s="114"/>
      <c r="BK211" s="114"/>
      <c r="BL211" s="114"/>
      <c r="BM211" s="114"/>
      <c r="BN211" s="114"/>
      <c r="BY211" s="114"/>
      <c r="CO211" s="114"/>
      <c r="DE211" s="114"/>
    </row>
    <row r="212" spans="2:130" x14ac:dyDescent="0.2">
      <c r="B212" s="59"/>
      <c r="C212" s="54"/>
      <c r="D212" s="54"/>
      <c r="E212" s="57"/>
      <c r="F212" s="54"/>
      <c r="G212" s="54"/>
      <c r="H212" s="54"/>
      <c r="I212" s="54"/>
      <c r="J212" s="54"/>
      <c r="K212" s="107"/>
      <c r="L212" s="54"/>
      <c r="M212" s="54"/>
      <c r="N212" s="54"/>
      <c r="O212" s="54"/>
      <c r="P212" s="54"/>
      <c r="Q212" s="54"/>
      <c r="R212" s="54"/>
      <c r="S212" s="54"/>
      <c r="T212" s="55"/>
      <c r="U212" s="55"/>
      <c r="V212" s="55"/>
      <c r="W212" s="54"/>
      <c r="X212" s="54"/>
      <c r="Y212" s="54"/>
      <c r="Z212" s="54"/>
      <c r="AA212" s="55"/>
      <c r="AB212" s="55"/>
      <c r="AC212" s="55"/>
      <c r="AD212" s="127"/>
      <c r="AE212" s="55"/>
      <c r="AF212" s="55"/>
      <c r="AG212" s="55"/>
      <c r="AH212" s="55"/>
      <c r="AI212" s="55"/>
      <c r="AJ212" s="55"/>
      <c r="AK212" s="55"/>
      <c r="AL212" s="55"/>
      <c r="AM212" s="145"/>
      <c r="AN212" s="145"/>
      <c r="AO212" s="145"/>
      <c r="AP212" s="145"/>
      <c r="AQ212" s="145"/>
      <c r="AR212" s="145"/>
      <c r="AS212" s="145"/>
      <c r="AT212" s="145"/>
      <c r="AU212" s="145"/>
      <c r="AV212" s="145"/>
      <c r="AW212" s="145"/>
      <c r="AX212" s="145"/>
      <c r="AZ212" s="114"/>
      <c r="BA212" s="146">
        <f>+BA211-BA210</f>
        <v>375114.82012200356</v>
      </c>
      <c r="BB212" s="114"/>
      <c r="BC212" s="114"/>
      <c r="BD212" s="114"/>
      <c r="BE212" s="114"/>
      <c r="BF212" s="114"/>
      <c r="BG212" s="114"/>
      <c r="BH212" s="114"/>
      <c r="BI212" s="114"/>
      <c r="BJ212" s="114"/>
      <c r="BK212" s="114"/>
      <c r="BL212" s="114"/>
      <c r="BM212" s="114"/>
      <c r="BN212" s="114"/>
      <c r="BY212" s="114"/>
      <c r="CD212" s="47"/>
      <c r="CO212" s="114"/>
      <c r="CT212" s="47"/>
      <c r="DE212" s="114"/>
      <c r="DJ212" s="47"/>
      <c r="DZ212" s="47"/>
    </row>
    <row r="213" spans="2:130" x14ac:dyDescent="0.2">
      <c r="B213" s="59"/>
      <c r="C213" s="54"/>
      <c r="D213" s="54"/>
      <c r="E213" s="57"/>
      <c r="F213" s="54"/>
      <c r="G213" s="54"/>
      <c r="H213" s="54"/>
      <c r="I213" s="54"/>
      <c r="J213" s="54"/>
      <c r="K213" s="107"/>
      <c r="L213" s="54"/>
      <c r="M213" s="54"/>
      <c r="N213" s="54"/>
      <c r="O213" s="54"/>
      <c r="P213" s="54"/>
      <c r="Q213" s="54"/>
      <c r="R213" s="54"/>
      <c r="S213" s="54"/>
      <c r="T213" s="55"/>
      <c r="U213" s="55"/>
      <c r="V213" s="55"/>
      <c r="W213" s="54"/>
      <c r="X213" s="54"/>
      <c r="Y213" s="54"/>
      <c r="Z213" s="54"/>
      <c r="AA213" s="55"/>
      <c r="AB213" s="55"/>
      <c r="AC213" s="55"/>
      <c r="AD213" s="127"/>
      <c r="AE213" s="55"/>
      <c r="AF213" s="55"/>
      <c r="AG213" s="55"/>
      <c r="AH213" s="55"/>
      <c r="AI213" s="55"/>
      <c r="AJ213" s="55"/>
      <c r="AK213" s="55"/>
      <c r="AL213" s="55"/>
      <c r="AM213" s="145"/>
      <c r="AN213" s="145"/>
      <c r="AO213" s="145"/>
      <c r="AP213" s="145"/>
      <c r="AQ213" s="145"/>
      <c r="AR213" s="145"/>
      <c r="AS213" s="145"/>
      <c r="AT213" s="145"/>
      <c r="AU213" s="145"/>
      <c r="AV213" s="145"/>
      <c r="AW213" s="145"/>
      <c r="AX213" s="145"/>
      <c r="AY213" s="114"/>
      <c r="AZ213" s="114"/>
      <c r="BA213" s="114"/>
      <c r="BB213" s="114"/>
      <c r="BC213" s="114"/>
      <c r="BD213" s="114"/>
      <c r="BE213" s="114"/>
      <c r="BF213" s="114"/>
      <c r="BG213" s="114"/>
      <c r="BH213" s="114"/>
      <c r="BI213" s="114"/>
      <c r="BJ213" s="114"/>
      <c r="BK213" s="114"/>
      <c r="BL213" s="114"/>
      <c r="BM213" s="114"/>
      <c r="BN213" s="114"/>
      <c r="BV213" s="179"/>
      <c r="BX213" s="179" t="s">
        <v>442</v>
      </c>
      <c r="BY213" s="146">
        <f>+BY191</f>
        <v>-18404000</v>
      </c>
      <c r="CO213" s="114"/>
      <c r="DE213" s="114"/>
    </row>
    <row r="214" spans="2:130" x14ac:dyDescent="0.2">
      <c r="B214" s="59"/>
      <c r="C214" s="54"/>
      <c r="D214" s="54"/>
      <c r="E214" s="57"/>
      <c r="F214" s="54"/>
      <c r="G214" s="54"/>
      <c r="H214" s="54"/>
      <c r="I214" s="54"/>
      <c r="J214" s="54"/>
      <c r="K214" s="107"/>
      <c r="L214" s="54"/>
      <c r="M214" s="54"/>
      <c r="N214" s="54"/>
      <c r="O214" s="54"/>
      <c r="P214" s="54"/>
      <c r="Q214" s="54"/>
      <c r="R214" s="54"/>
      <c r="S214" s="54"/>
      <c r="T214" s="55"/>
      <c r="U214" s="55"/>
      <c r="V214" s="55"/>
      <c r="W214" s="54"/>
      <c r="X214" s="54"/>
      <c r="Y214" s="54"/>
      <c r="Z214" s="54"/>
      <c r="AA214" s="55"/>
      <c r="AB214" s="55"/>
      <c r="AC214" s="55"/>
      <c r="AD214" s="127"/>
      <c r="AE214" s="55"/>
      <c r="AF214" s="55"/>
      <c r="AG214" s="55"/>
      <c r="AH214" s="55"/>
      <c r="AI214" s="55"/>
      <c r="AJ214" s="55"/>
      <c r="AK214" s="55"/>
      <c r="AL214" s="55"/>
      <c r="AM214" s="145"/>
      <c r="AN214" s="145"/>
      <c r="AO214" s="145"/>
      <c r="AP214" s="145"/>
      <c r="AQ214" s="145"/>
      <c r="AR214" s="145"/>
      <c r="AS214" s="145"/>
      <c r="AT214" s="145"/>
      <c r="AU214" s="145"/>
      <c r="AV214" s="145"/>
      <c r="AW214" s="145"/>
      <c r="AX214" s="145"/>
      <c r="AY214" s="114"/>
      <c r="AZ214" s="114" t="s">
        <v>417</v>
      </c>
      <c r="BA214" s="146">
        <v>540000</v>
      </c>
      <c r="BB214" s="114"/>
      <c r="BC214" s="114"/>
      <c r="BD214" s="114"/>
      <c r="BE214" s="114"/>
      <c r="BF214" s="114"/>
      <c r="BG214" s="114"/>
      <c r="BH214" s="114"/>
      <c r="BI214" s="114"/>
      <c r="BJ214" s="114"/>
      <c r="BK214" s="114"/>
      <c r="BL214" s="114"/>
      <c r="BM214" s="114"/>
      <c r="BN214" s="114"/>
      <c r="BV214" s="179"/>
      <c r="BX214" s="179" t="s">
        <v>443</v>
      </c>
      <c r="BY214" s="146" t="e">
        <f>+BX186</f>
        <v>#REF!</v>
      </c>
      <c r="CO214" s="114"/>
      <c r="DE214" s="114"/>
    </row>
    <row r="215" spans="2:130" x14ac:dyDescent="0.2">
      <c r="B215" s="59"/>
      <c r="C215" s="54"/>
      <c r="D215" s="54"/>
      <c r="E215" s="57"/>
      <c r="F215" s="54"/>
      <c r="G215" s="54"/>
      <c r="H215" s="54"/>
      <c r="I215" s="54"/>
      <c r="J215" s="54"/>
      <c r="K215" s="107"/>
      <c r="L215" s="54"/>
      <c r="M215" s="54"/>
      <c r="N215" s="54"/>
      <c r="O215" s="54"/>
      <c r="P215" s="54"/>
      <c r="Q215" s="54"/>
      <c r="R215" s="54"/>
      <c r="S215" s="54"/>
      <c r="T215" s="55"/>
      <c r="U215" s="55"/>
      <c r="V215" s="55"/>
      <c r="W215" s="54"/>
      <c r="X215" s="54"/>
      <c r="Y215" s="54"/>
      <c r="Z215" s="54"/>
      <c r="AA215" s="55"/>
      <c r="AB215" s="55"/>
      <c r="AC215" s="55"/>
      <c r="AD215" s="127"/>
      <c r="AE215" s="55"/>
      <c r="AF215" s="55"/>
      <c r="AG215" s="55"/>
      <c r="AH215" s="55"/>
      <c r="AI215" s="55"/>
      <c r="AJ215" s="55"/>
      <c r="AK215" s="55"/>
      <c r="AL215" s="55"/>
      <c r="AM215" s="145"/>
      <c r="AN215" s="145"/>
      <c r="AO215" s="145"/>
      <c r="AP215" s="145"/>
      <c r="AQ215" s="145"/>
      <c r="AR215" s="145"/>
      <c r="AS215" s="145"/>
      <c r="AT215" s="145"/>
      <c r="AU215" s="145"/>
      <c r="AV215" s="145"/>
      <c r="AW215" s="145"/>
      <c r="AX215" s="145"/>
      <c r="AY215" s="114"/>
      <c r="AZ215" s="114"/>
      <c r="BA215" s="114"/>
      <c r="BB215" s="114"/>
      <c r="BC215" s="114"/>
      <c r="BD215" s="114"/>
      <c r="BE215" s="114"/>
      <c r="BF215" s="114"/>
      <c r="BG215" s="114"/>
      <c r="BH215" s="114"/>
      <c r="BI215" s="114"/>
      <c r="BJ215" s="114"/>
      <c r="BK215" s="114"/>
      <c r="BL215" s="114"/>
      <c r="BM215" s="114"/>
      <c r="BN215" s="114"/>
      <c r="BX215" s="180" t="s">
        <v>445</v>
      </c>
      <c r="BY215" s="181" t="e">
        <f>+BY213-BY214</f>
        <v>#REF!</v>
      </c>
      <c r="CO215" s="114"/>
      <c r="DE215" s="114"/>
    </row>
    <row r="216" spans="2:130" x14ac:dyDescent="0.2">
      <c r="M216" s="123"/>
      <c r="AM216" s="146"/>
      <c r="AN216" s="146"/>
      <c r="AO216" s="146"/>
      <c r="AP216" s="146"/>
      <c r="AQ216" s="114"/>
      <c r="AR216" s="114"/>
      <c r="AS216" s="114"/>
      <c r="AT216" s="114"/>
      <c r="AU216" s="114"/>
      <c r="AV216" s="114"/>
      <c r="AW216" s="114"/>
      <c r="AX216" s="114"/>
      <c r="AY216" s="114"/>
      <c r="AZ216" s="114"/>
      <c r="BA216" s="114"/>
      <c r="BB216" s="114"/>
      <c r="BC216" s="114"/>
      <c r="BD216" s="114"/>
      <c r="BE216" s="114"/>
      <c r="BF216" s="114"/>
      <c r="BG216" s="114"/>
      <c r="BH216" s="114"/>
      <c r="BI216" s="114"/>
      <c r="BJ216" s="114"/>
      <c r="BK216" s="114"/>
      <c r="BL216" s="114"/>
      <c r="BM216" s="114"/>
      <c r="BN216" s="114"/>
    </row>
    <row r="217" spans="2:130" x14ac:dyDescent="0.2">
      <c r="AM217" s="146"/>
      <c r="AN217" s="146"/>
      <c r="AO217" s="146"/>
      <c r="AP217" s="146"/>
      <c r="AQ217" s="114"/>
      <c r="AR217" s="114"/>
      <c r="AS217" s="114"/>
      <c r="AT217" s="114"/>
      <c r="AU217" s="114"/>
      <c r="AV217" s="114"/>
      <c r="AW217" s="114"/>
      <c r="AX217" s="114"/>
      <c r="AY217" s="114"/>
      <c r="AZ217" s="114"/>
      <c r="BA217" s="114"/>
      <c r="BB217" s="114"/>
      <c r="BC217" s="114"/>
      <c r="BD217" s="114"/>
      <c r="BE217" s="114"/>
      <c r="BF217" s="114"/>
      <c r="BG217" s="114"/>
      <c r="BH217" s="114"/>
      <c r="BI217" s="114"/>
      <c r="BJ217" s="114"/>
      <c r="BK217" s="114"/>
      <c r="BL217" s="114"/>
      <c r="BM217" s="114"/>
      <c r="BN217" s="114"/>
    </row>
    <row r="218" spans="2:130" x14ac:dyDescent="0.2">
      <c r="AM218" s="146"/>
      <c r="AN218" s="146"/>
      <c r="AO218" s="146"/>
      <c r="AP218" s="146"/>
      <c r="AQ218" s="114"/>
      <c r="AR218" s="114"/>
      <c r="AS218" s="114"/>
      <c r="AT218" s="114"/>
      <c r="AU218" s="114"/>
      <c r="AV218" s="114"/>
      <c r="AW218" s="114"/>
      <c r="AX218" s="114"/>
      <c r="AY218" s="114"/>
      <c r="AZ218" s="114"/>
      <c r="BA218" s="114"/>
      <c r="BB218" s="114"/>
      <c r="BC218" s="114"/>
      <c r="BD218" s="114"/>
      <c r="BE218" s="114"/>
      <c r="BF218" s="114"/>
      <c r="BG218" s="114"/>
      <c r="BH218" s="114"/>
      <c r="BI218" s="114"/>
      <c r="BJ218" s="114"/>
      <c r="BK218" s="114"/>
      <c r="BL218" s="114"/>
      <c r="BM218" s="114"/>
      <c r="BN218" s="114"/>
    </row>
    <row r="219" spans="2:130" x14ac:dyDescent="0.2">
      <c r="AM219" s="146"/>
      <c r="AN219" s="146"/>
      <c r="AO219" s="146"/>
      <c r="AP219" s="146"/>
      <c r="AQ219" s="114"/>
      <c r="AR219" s="114"/>
      <c r="AS219" s="114"/>
      <c r="AT219" s="114"/>
      <c r="AU219" s="114"/>
      <c r="AV219" s="114"/>
      <c r="AW219" s="114"/>
      <c r="AX219" s="114"/>
      <c r="AY219" s="114"/>
      <c r="AZ219" s="114"/>
      <c r="BA219" s="114"/>
      <c r="BB219" s="114"/>
      <c r="BC219" s="114"/>
      <c r="BD219" s="114"/>
      <c r="BE219" s="114"/>
      <c r="BF219" s="114"/>
      <c r="BG219" s="114"/>
      <c r="BH219" s="114"/>
      <c r="BI219" s="114"/>
      <c r="BJ219" s="114"/>
      <c r="BK219" s="114"/>
      <c r="BL219" s="114"/>
      <c r="BM219" s="114"/>
      <c r="BN219" s="114"/>
      <c r="BZ219" s="38">
        <v>63355299</v>
      </c>
    </row>
    <row r="220" spans="2:130" x14ac:dyDescent="0.2">
      <c r="AM220" s="146"/>
      <c r="AN220" s="146"/>
      <c r="AO220" s="146"/>
      <c r="AP220" s="146"/>
      <c r="AQ220" s="114"/>
      <c r="AR220" s="114"/>
      <c r="AS220" s="114"/>
      <c r="AT220" s="114"/>
      <c r="AU220" s="114"/>
      <c r="AV220" s="114"/>
      <c r="AW220" s="114"/>
      <c r="AX220" s="114"/>
      <c r="AY220" s="114"/>
      <c r="AZ220" s="114"/>
      <c r="BA220" s="114"/>
      <c r="BB220" s="114"/>
      <c r="BC220" s="114"/>
      <c r="BD220" s="114"/>
      <c r="BE220" s="114"/>
      <c r="BF220" s="114"/>
      <c r="BG220" s="114"/>
      <c r="BH220" s="114"/>
      <c r="BI220" s="114"/>
      <c r="BJ220" s="114"/>
      <c r="BK220" s="114"/>
      <c r="BL220" s="114"/>
      <c r="BM220" s="114"/>
      <c r="BN220" s="114"/>
      <c r="BZ220" s="38">
        <f>+BZ219*0.00565</f>
        <v>357957.43935</v>
      </c>
    </row>
    <row r="221" spans="2:130" x14ac:dyDescent="0.2">
      <c r="AM221" s="146"/>
      <c r="AN221" s="146"/>
      <c r="AO221" s="146"/>
      <c r="AP221" s="146"/>
      <c r="AQ221" s="114"/>
      <c r="AR221" s="114"/>
      <c r="AS221" s="114"/>
      <c r="AT221" s="114"/>
      <c r="AU221" s="114"/>
      <c r="AV221" s="114"/>
      <c r="AW221" s="114"/>
      <c r="AX221" s="114"/>
      <c r="AY221" s="114"/>
      <c r="AZ221" s="114"/>
      <c r="BA221" s="114"/>
      <c r="BB221" s="114"/>
      <c r="BC221" s="114"/>
      <c r="BD221" s="114"/>
      <c r="BE221" s="114"/>
      <c r="BF221" s="114"/>
      <c r="BG221" s="114"/>
      <c r="BH221" s="114"/>
      <c r="BI221" s="114"/>
      <c r="BJ221" s="114"/>
      <c r="BK221" s="114"/>
      <c r="BL221" s="114"/>
      <c r="BM221" s="114"/>
      <c r="BN221" s="114"/>
      <c r="BZ221" s="123">
        <f>+BZ220/BZ219</f>
        <v>5.6499999999999996E-3</v>
      </c>
    </row>
    <row r="222" spans="2:130" x14ac:dyDescent="0.2">
      <c r="AM222" s="146"/>
      <c r="AN222" s="146"/>
      <c r="AO222" s="146"/>
      <c r="AP222" s="146"/>
      <c r="AQ222" s="114"/>
      <c r="AR222" s="114"/>
      <c r="AS222" s="114"/>
      <c r="AT222" s="114"/>
      <c r="AU222" s="114"/>
      <c r="AV222" s="114"/>
      <c r="AW222" s="114"/>
      <c r="AX222" s="114"/>
      <c r="AY222" s="114"/>
      <c r="AZ222" s="114"/>
      <c r="BA222" s="114"/>
      <c r="BB222" s="114"/>
      <c r="BC222" s="114"/>
      <c r="BD222" s="114"/>
      <c r="BE222" s="114"/>
      <c r="BF222" s="114"/>
      <c r="BG222" s="114"/>
      <c r="BH222" s="114"/>
      <c r="BI222" s="114"/>
      <c r="BJ222" s="114"/>
      <c r="BK222" s="114"/>
      <c r="BL222" s="114"/>
      <c r="BM222" s="114"/>
      <c r="BN222" s="114"/>
    </row>
    <row r="223" spans="2:130" x14ac:dyDescent="0.2">
      <c r="AM223" s="146"/>
      <c r="AN223" s="146"/>
      <c r="AO223" s="146"/>
      <c r="AP223" s="146"/>
      <c r="AQ223" s="114"/>
      <c r="AR223" s="114"/>
      <c r="AS223" s="114"/>
      <c r="AT223" s="114"/>
      <c r="AU223" s="114"/>
      <c r="AV223" s="114"/>
      <c r="AW223" s="114"/>
      <c r="AX223" s="114"/>
      <c r="AY223" s="114"/>
      <c r="AZ223" s="114"/>
      <c r="BA223" s="114"/>
      <c r="BB223" s="114"/>
      <c r="BC223" s="114"/>
      <c r="BD223" s="114"/>
      <c r="BE223" s="114"/>
      <c r="BF223" s="114"/>
      <c r="BG223" s="114"/>
      <c r="BH223" s="114"/>
      <c r="BI223" s="114"/>
      <c r="BJ223" s="114"/>
      <c r="BK223" s="114"/>
      <c r="BL223" s="114"/>
      <c r="BM223" s="114"/>
      <c r="BN223" s="114"/>
    </row>
    <row r="224" spans="2:130" x14ac:dyDescent="0.2">
      <c r="AM224" s="146"/>
      <c r="AN224" s="146"/>
      <c r="AO224" s="146"/>
      <c r="AP224" s="146"/>
      <c r="AQ224" s="114"/>
      <c r="AR224" s="114"/>
      <c r="AS224" s="114"/>
      <c r="AT224" s="114"/>
      <c r="AU224" s="114"/>
      <c r="AV224" s="114"/>
      <c r="AW224" s="114"/>
      <c r="AX224" s="114"/>
      <c r="AY224" s="114"/>
      <c r="AZ224" s="114"/>
      <c r="BA224" s="114"/>
      <c r="BB224" s="114"/>
      <c r="BC224" s="114"/>
      <c r="BD224" s="114"/>
      <c r="BE224" s="114"/>
      <c r="BF224" s="114"/>
      <c r="BG224" s="114"/>
      <c r="BH224" s="114"/>
      <c r="BI224" s="114"/>
      <c r="BJ224" s="114"/>
      <c r="BK224" s="114"/>
      <c r="BL224" s="114"/>
      <c r="BM224" s="114"/>
      <c r="BN224" s="114"/>
    </row>
    <row r="225" spans="39:66" x14ac:dyDescent="0.2">
      <c r="AM225" s="146"/>
      <c r="AN225" s="146"/>
      <c r="AO225" s="146"/>
      <c r="AP225" s="146"/>
      <c r="AQ225" s="114"/>
      <c r="AR225" s="114"/>
      <c r="AS225" s="114"/>
      <c r="AT225" s="114"/>
      <c r="AU225" s="114"/>
      <c r="AV225" s="114"/>
      <c r="AW225" s="114"/>
      <c r="AX225" s="114"/>
      <c r="AY225" s="114"/>
      <c r="AZ225" s="114"/>
      <c r="BA225" s="114"/>
      <c r="BB225" s="114"/>
      <c r="BC225" s="114"/>
      <c r="BD225" s="114"/>
      <c r="BE225" s="114"/>
      <c r="BF225" s="114"/>
      <c r="BG225" s="114"/>
      <c r="BH225" s="114"/>
      <c r="BI225" s="114"/>
      <c r="BJ225" s="114"/>
      <c r="BK225" s="114"/>
      <c r="BL225" s="114"/>
      <c r="BM225" s="114"/>
      <c r="BN225" s="114"/>
    </row>
    <row r="226" spans="39:66" x14ac:dyDescent="0.2">
      <c r="AM226" s="146"/>
      <c r="AN226" s="146"/>
      <c r="AO226" s="146"/>
      <c r="AP226" s="146"/>
      <c r="AQ226" s="114"/>
      <c r="AR226" s="114"/>
      <c r="AS226" s="114"/>
      <c r="AT226" s="114"/>
      <c r="AU226" s="114"/>
      <c r="AV226" s="114"/>
      <c r="AW226" s="114"/>
      <c r="AX226" s="114"/>
      <c r="AY226" s="114"/>
      <c r="AZ226" s="114"/>
      <c r="BA226" s="114"/>
      <c r="BB226" s="114"/>
      <c r="BC226" s="114"/>
      <c r="BD226" s="114"/>
      <c r="BE226" s="114"/>
      <c r="BF226" s="114"/>
      <c r="BG226" s="114"/>
      <c r="BH226" s="114"/>
      <c r="BI226" s="114"/>
      <c r="BJ226" s="114"/>
      <c r="BK226" s="114"/>
      <c r="BL226" s="114"/>
      <c r="BM226" s="114"/>
      <c r="BN226" s="114"/>
    </row>
    <row r="227" spans="39:66" x14ac:dyDescent="0.2">
      <c r="AM227" s="146"/>
      <c r="AN227" s="146"/>
      <c r="AO227" s="146"/>
      <c r="AP227" s="146"/>
      <c r="AQ227" s="114"/>
      <c r="AR227" s="114"/>
      <c r="AS227" s="114"/>
      <c r="AT227" s="114"/>
      <c r="AU227" s="114"/>
      <c r="AV227" s="114"/>
      <c r="AW227" s="114"/>
      <c r="AX227" s="114"/>
      <c r="AY227" s="114"/>
      <c r="AZ227" s="114"/>
      <c r="BA227" s="114"/>
      <c r="BB227" s="114"/>
      <c r="BC227" s="114"/>
      <c r="BD227" s="114"/>
      <c r="BE227" s="114"/>
      <c r="BF227" s="114"/>
      <c r="BG227" s="114"/>
      <c r="BH227" s="114"/>
      <c r="BI227" s="114"/>
      <c r="BJ227" s="114"/>
      <c r="BK227" s="114"/>
      <c r="BL227" s="114"/>
      <c r="BM227" s="114"/>
      <c r="BN227" s="114"/>
    </row>
    <row r="228" spans="39:66" x14ac:dyDescent="0.2">
      <c r="AM228" s="146"/>
      <c r="AN228" s="146"/>
      <c r="AO228" s="146"/>
      <c r="AP228" s="146"/>
      <c r="AQ228" s="114"/>
      <c r="AR228" s="114"/>
      <c r="AS228" s="114"/>
      <c r="AT228" s="114"/>
      <c r="AU228" s="114"/>
      <c r="AV228" s="114"/>
      <c r="AW228" s="114"/>
      <c r="AX228" s="114"/>
      <c r="AY228" s="114"/>
      <c r="AZ228" s="114"/>
      <c r="BA228" s="114"/>
      <c r="BB228" s="114"/>
      <c r="BC228" s="114"/>
      <c r="BD228" s="114"/>
      <c r="BE228" s="114"/>
      <c r="BF228" s="114"/>
      <c r="BG228" s="114"/>
      <c r="BH228" s="114"/>
      <c r="BI228" s="114"/>
      <c r="BJ228" s="114"/>
      <c r="BK228" s="114"/>
      <c r="BL228" s="114"/>
      <c r="BM228" s="114"/>
      <c r="BN228" s="114"/>
    </row>
    <row r="229" spans="39:66" x14ac:dyDescent="0.2">
      <c r="AM229" s="146"/>
      <c r="AN229" s="146"/>
      <c r="AO229" s="146"/>
      <c r="AP229" s="146"/>
      <c r="AQ229" s="114"/>
      <c r="AR229" s="114"/>
      <c r="AS229" s="114"/>
      <c r="AT229" s="114"/>
      <c r="AU229" s="114"/>
      <c r="AV229" s="114"/>
      <c r="AW229" s="114"/>
      <c r="AX229" s="114"/>
      <c r="AY229" s="114"/>
      <c r="AZ229" s="114"/>
      <c r="BA229" s="114"/>
      <c r="BB229" s="114"/>
      <c r="BC229" s="114"/>
      <c r="BD229" s="114"/>
      <c r="BE229" s="114"/>
      <c r="BF229" s="114"/>
      <c r="BG229" s="114"/>
      <c r="BH229" s="114"/>
      <c r="BI229" s="114"/>
      <c r="BJ229" s="114"/>
      <c r="BK229" s="114"/>
      <c r="BL229" s="114"/>
      <c r="BM229" s="114"/>
      <c r="BN229" s="114"/>
    </row>
    <row r="230" spans="39:66" x14ac:dyDescent="0.2">
      <c r="AM230" s="146"/>
      <c r="AN230" s="146"/>
      <c r="AO230" s="146"/>
      <c r="AP230" s="146"/>
      <c r="AQ230" s="114"/>
      <c r="AR230" s="114"/>
      <c r="AS230" s="114"/>
      <c r="AT230" s="114"/>
      <c r="AU230" s="114"/>
      <c r="AV230" s="114"/>
      <c r="AW230" s="114"/>
      <c r="AX230" s="114"/>
      <c r="AY230" s="114"/>
      <c r="AZ230" s="114"/>
      <c r="BA230" s="114"/>
      <c r="BB230" s="114"/>
      <c r="BC230" s="114"/>
      <c r="BD230" s="114"/>
      <c r="BE230" s="114"/>
      <c r="BF230" s="114"/>
      <c r="BG230" s="114"/>
      <c r="BH230" s="114"/>
      <c r="BI230" s="114"/>
      <c r="BJ230" s="114"/>
      <c r="BK230" s="114"/>
      <c r="BL230" s="114"/>
      <c r="BM230" s="114"/>
      <c r="BN230" s="114"/>
    </row>
    <row r="231" spans="39:66" x14ac:dyDescent="0.2">
      <c r="AM231" s="146"/>
      <c r="AN231" s="146"/>
      <c r="AO231" s="146"/>
      <c r="AP231" s="146"/>
      <c r="AQ231" s="114"/>
      <c r="AR231" s="114"/>
      <c r="AS231" s="114"/>
      <c r="AT231" s="114"/>
      <c r="AU231" s="114"/>
      <c r="AV231" s="114"/>
      <c r="AW231" s="114"/>
      <c r="AX231" s="114"/>
      <c r="AY231" s="114"/>
      <c r="AZ231" s="114"/>
      <c r="BA231" s="114"/>
      <c r="BB231" s="114"/>
      <c r="BC231" s="114"/>
      <c r="BD231" s="114"/>
      <c r="BE231" s="114"/>
      <c r="BF231" s="114"/>
      <c r="BG231" s="114"/>
      <c r="BH231" s="114"/>
      <c r="BI231" s="114"/>
      <c r="BJ231" s="114"/>
      <c r="BK231" s="114"/>
      <c r="BL231" s="114"/>
      <c r="BM231" s="114"/>
      <c r="BN231" s="114"/>
    </row>
    <row r="232" spans="39:66" x14ac:dyDescent="0.2">
      <c r="AM232" s="146"/>
      <c r="AN232" s="146"/>
      <c r="AO232" s="146"/>
      <c r="AP232" s="146"/>
      <c r="AQ232" s="114"/>
      <c r="AR232" s="114"/>
      <c r="AS232" s="114"/>
      <c r="AT232" s="114"/>
      <c r="AU232" s="114"/>
      <c r="AV232" s="114"/>
      <c r="AW232" s="114"/>
      <c r="AX232" s="114"/>
      <c r="AY232" s="114"/>
      <c r="AZ232" s="114"/>
      <c r="BA232" s="114"/>
      <c r="BB232" s="114"/>
      <c r="BC232" s="114"/>
      <c r="BD232" s="114"/>
      <c r="BE232" s="114"/>
      <c r="BF232" s="114"/>
      <c r="BG232" s="114"/>
      <c r="BH232" s="114"/>
      <c r="BI232" s="114"/>
      <c r="BJ232" s="114"/>
      <c r="BK232" s="114"/>
      <c r="BL232" s="114"/>
      <c r="BM232" s="114"/>
      <c r="BN232" s="114"/>
    </row>
    <row r="233" spans="39:66" x14ac:dyDescent="0.2">
      <c r="AM233" s="146"/>
      <c r="AN233" s="146"/>
      <c r="AO233" s="146"/>
      <c r="AP233" s="146"/>
      <c r="AQ233" s="114"/>
      <c r="AR233" s="114"/>
      <c r="AS233" s="114"/>
      <c r="AT233" s="114"/>
      <c r="AU233" s="114"/>
      <c r="AV233" s="114"/>
      <c r="AW233" s="114"/>
      <c r="AX233" s="114"/>
      <c r="AY233" s="114"/>
      <c r="AZ233" s="114"/>
      <c r="BA233" s="114"/>
      <c r="BB233" s="114"/>
      <c r="BC233" s="114"/>
      <c r="BD233" s="114"/>
      <c r="BE233" s="114"/>
      <c r="BF233" s="114"/>
      <c r="BG233" s="114"/>
      <c r="BH233" s="114"/>
      <c r="BI233" s="114"/>
      <c r="BJ233" s="114"/>
      <c r="BK233" s="114"/>
      <c r="BL233" s="114"/>
      <c r="BM233" s="114"/>
      <c r="BN233" s="114"/>
    </row>
    <row r="234" spans="39:66" x14ac:dyDescent="0.2">
      <c r="AM234" s="146"/>
      <c r="AN234" s="146"/>
      <c r="AO234" s="146"/>
      <c r="AP234" s="146"/>
      <c r="AQ234" s="114"/>
      <c r="AR234" s="114"/>
      <c r="AS234" s="114"/>
      <c r="AT234" s="114"/>
      <c r="AU234" s="114"/>
      <c r="AV234" s="114"/>
      <c r="AW234" s="114"/>
      <c r="AX234" s="114"/>
      <c r="AY234" s="114"/>
      <c r="AZ234" s="114"/>
      <c r="BA234" s="114"/>
      <c r="BB234" s="114"/>
      <c r="BC234" s="114"/>
      <c r="BD234" s="114"/>
      <c r="BE234" s="114"/>
      <c r="BF234" s="114"/>
      <c r="BG234" s="114"/>
      <c r="BH234" s="114"/>
      <c r="BI234" s="114"/>
      <c r="BJ234" s="114"/>
      <c r="BK234" s="114"/>
      <c r="BL234" s="114"/>
      <c r="BM234" s="114"/>
      <c r="BN234" s="114"/>
    </row>
    <row r="235" spans="39:66" x14ac:dyDescent="0.2">
      <c r="AM235" s="146"/>
      <c r="AN235" s="146"/>
      <c r="AO235" s="146"/>
      <c r="AP235" s="146"/>
      <c r="AQ235" s="114"/>
      <c r="AR235" s="114"/>
      <c r="AS235" s="114"/>
      <c r="AT235" s="114"/>
      <c r="AU235" s="114"/>
      <c r="AV235" s="114"/>
      <c r="AW235" s="114"/>
      <c r="AX235" s="114"/>
      <c r="AY235" s="114"/>
      <c r="AZ235" s="114"/>
      <c r="BA235" s="114"/>
      <c r="BB235" s="114"/>
      <c r="BC235" s="114"/>
      <c r="BD235" s="114"/>
      <c r="BE235" s="114"/>
      <c r="BF235" s="114"/>
      <c r="BG235" s="114"/>
      <c r="BH235" s="114"/>
      <c r="BI235" s="114"/>
      <c r="BJ235" s="114"/>
      <c r="BK235" s="114"/>
      <c r="BL235" s="114"/>
      <c r="BM235" s="114"/>
      <c r="BN235" s="114"/>
    </row>
    <row r="236" spans="39:66" x14ac:dyDescent="0.2">
      <c r="AM236" s="146"/>
      <c r="AN236" s="146"/>
      <c r="AO236" s="146"/>
      <c r="AP236" s="146"/>
      <c r="AQ236" s="114"/>
      <c r="AR236" s="114"/>
      <c r="AS236" s="114"/>
      <c r="AT236" s="114"/>
      <c r="AU236" s="114"/>
      <c r="AV236" s="114"/>
      <c r="AW236" s="114"/>
      <c r="AX236" s="114"/>
      <c r="AY236" s="114"/>
      <c r="AZ236" s="114"/>
      <c r="BA236" s="114"/>
      <c r="BB236" s="114"/>
      <c r="BC236" s="114"/>
      <c r="BD236" s="114"/>
      <c r="BE236" s="114"/>
      <c r="BF236" s="114"/>
      <c r="BG236" s="114"/>
      <c r="BH236" s="114"/>
      <c r="BI236" s="114"/>
      <c r="BJ236" s="114"/>
      <c r="BK236" s="114"/>
      <c r="BL236" s="114"/>
      <c r="BM236" s="114"/>
      <c r="BN236" s="114"/>
    </row>
    <row r="237" spans="39:66" x14ac:dyDescent="0.2">
      <c r="AM237" s="146"/>
      <c r="AN237" s="146"/>
      <c r="AO237" s="146"/>
      <c r="AP237" s="146"/>
      <c r="AQ237" s="114"/>
      <c r="AR237" s="114"/>
      <c r="AS237" s="114"/>
      <c r="AT237" s="114"/>
      <c r="AU237" s="114"/>
      <c r="AV237" s="114"/>
      <c r="AW237" s="114"/>
      <c r="AX237" s="114"/>
      <c r="AY237" s="114"/>
      <c r="AZ237" s="114"/>
      <c r="BA237" s="114"/>
      <c r="BB237" s="114"/>
      <c r="BC237" s="114"/>
      <c r="BD237" s="114"/>
      <c r="BE237" s="114"/>
      <c r="BF237" s="114"/>
      <c r="BG237" s="114"/>
      <c r="BH237" s="114"/>
      <c r="BI237" s="114"/>
      <c r="BJ237" s="114"/>
      <c r="BK237" s="114"/>
      <c r="BL237" s="114"/>
      <c r="BM237" s="114"/>
      <c r="BN237" s="114"/>
    </row>
    <row r="238" spans="39:66" x14ac:dyDescent="0.2">
      <c r="AM238" s="146"/>
      <c r="AN238" s="146"/>
      <c r="AO238" s="146"/>
      <c r="AP238" s="146"/>
      <c r="AQ238" s="114"/>
      <c r="AR238" s="114"/>
      <c r="AS238" s="114"/>
      <c r="AT238" s="114"/>
      <c r="AU238" s="114"/>
      <c r="AV238" s="114"/>
      <c r="AW238" s="114"/>
      <c r="AX238" s="114"/>
      <c r="AY238" s="114"/>
      <c r="AZ238" s="114"/>
      <c r="BA238" s="114"/>
      <c r="BB238" s="114"/>
      <c r="BC238" s="114"/>
      <c r="BD238" s="114"/>
      <c r="BE238" s="114"/>
      <c r="BF238" s="114"/>
      <c r="BG238" s="114"/>
      <c r="BH238" s="114"/>
      <c r="BI238" s="114"/>
      <c r="BJ238" s="114"/>
      <c r="BK238" s="114"/>
      <c r="BL238" s="114"/>
      <c r="BM238" s="114"/>
      <c r="BN238" s="114"/>
    </row>
    <row r="239" spans="39:66" x14ac:dyDescent="0.2">
      <c r="AM239" s="146"/>
      <c r="AN239" s="146"/>
      <c r="AO239" s="146"/>
      <c r="AP239" s="146"/>
      <c r="AQ239" s="114"/>
      <c r="AR239" s="114"/>
      <c r="AS239" s="114"/>
      <c r="AT239" s="114"/>
      <c r="AU239" s="114"/>
      <c r="AV239" s="114"/>
      <c r="AW239" s="114"/>
      <c r="AX239" s="114"/>
      <c r="AY239" s="114"/>
      <c r="AZ239" s="114"/>
      <c r="BA239" s="114"/>
      <c r="BB239" s="114"/>
      <c r="BC239" s="114"/>
      <c r="BD239" s="114"/>
      <c r="BE239" s="114"/>
      <c r="BF239" s="114"/>
      <c r="BG239" s="114"/>
      <c r="BH239" s="114"/>
      <c r="BI239" s="114"/>
      <c r="BJ239" s="114"/>
      <c r="BK239" s="114"/>
      <c r="BL239" s="114"/>
      <c r="BM239" s="114"/>
      <c r="BN239" s="114"/>
    </row>
    <row r="240" spans="39:66" x14ac:dyDescent="0.2">
      <c r="AM240" s="146"/>
      <c r="AN240" s="146"/>
      <c r="AO240" s="146"/>
      <c r="AP240" s="146"/>
      <c r="AQ240" s="114"/>
      <c r="AR240" s="114"/>
      <c r="AS240" s="114"/>
      <c r="AT240" s="114"/>
      <c r="AU240" s="114"/>
      <c r="AV240" s="114"/>
      <c r="AW240" s="114"/>
      <c r="AX240" s="114"/>
      <c r="AY240" s="114"/>
      <c r="AZ240" s="114"/>
      <c r="BA240" s="114"/>
      <c r="BB240" s="114"/>
      <c r="BC240" s="114"/>
      <c r="BD240" s="114"/>
      <c r="BE240" s="114"/>
      <c r="BF240" s="114"/>
      <c r="BG240" s="114"/>
      <c r="BH240" s="114"/>
      <c r="BI240" s="114"/>
      <c r="BJ240" s="114"/>
      <c r="BK240" s="114"/>
      <c r="BL240" s="114"/>
      <c r="BM240" s="114"/>
      <c r="BN240" s="114"/>
    </row>
    <row r="241" spans="39:66" x14ac:dyDescent="0.2">
      <c r="AM241" s="146"/>
      <c r="AN241" s="146"/>
      <c r="AO241" s="146"/>
      <c r="AP241" s="146"/>
      <c r="AQ241" s="114"/>
      <c r="AR241" s="114"/>
      <c r="AS241" s="114"/>
      <c r="AT241" s="114"/>
      <c r="AU241" s="114"/>
      <c r="AV241" s="114"/>
      <c r="AW241" s="114"/>
      <c r="AX241" s="114"/>
      <c r="AY241" s="114"/>
      <c r="AZ241" s="114"/>
      <c r="BA241" s="114"/>
      <c r="BB241" s="114"/>
      <c r="BC241" s="114"/>
      <c r="BD241" s="114"/>
      <c r="BE241" s="114"/>
      <c r="BF241" s="114"/>
      <c r="BG241" s="114"/>
      <c r="BH241" s="114"/>
      <c r="BI241" s="114"/>
      <c r="BJ241" s="114"/>
      <c r="BK241" s="114"/>
      <c r="BL241" s="114"/>
      <c r="BM241" s="114"/>
      <c r="BN241" s="114"/>
    </row>
    <row r="242" spans="39:66" x14ac:dyDescent="0.2">
      <c r="AM242" s="146"/>
      <c r="AN242" s="146"/>
      <c r="AO242" s="146"/>
      <c r="AP242" s="146"/>
      <c r="AQ242" s="114"/>
      <c r="AR242" s="114"/>
      <c r="AS242" s="114"/>
      <c r="AT242" s="114"/>
      <c r="AU242" s="114"/>
      <c r="AV242" s="114"/>
      <c r="AW242" s="114"/>
      <c r="AX242" s="114"/>
      <c r="AY242" s="114"/>
      <c r="AZ242" s="114"/>
      <c r="BA242" s="114"/>
      <c r="BB242" s="114"/>
      <c r="BC242" s="114"/>
      <c r="BD242" s="114"/>
      <c r="BE242" s="114"/>
      <c r="BF242" s="114"/>
      <c r="BG242" s="114"/>
      <c r="BH242" s="114"/>
      <c r="BI242" s="114"/>
      <c r="BJ242" s="114"/>
      <c r="BK242" s="114"/>
      <c r="BL242" s="114"/>
      <c r="BM242" s="114"/>
      <c r="BN242" s="114"/>
    </row>
    <row r="243" spans="39:66" x14ac:dyDescent="0.2">
      <c r="AM243" s="146"/>
      <c r="AN243" s="146"/>
      <c r="AO243" s="146"/>
      <c r="AP243" s="146"/>
      <c r="AQ243" s="114"/>
      <c r="AR243" s="114"/>
      <c r="AS243" s="114"/>
      <c r="AT243" s="114"/>
      <c r="AU243" s="114"/>
      <c r="AV243" s="114"/>
      <c r="AW243" s="114"/>
      <c r="AX243" s="114"/>
      <c r="AY243" s="114"/>
      <c r="AZ243" s="114"/>
      <c r="BA243" s="114"/>
      <c r="BB243" s="114"/>
      <c r="BC243" s="114"/>
      <c r="BD243" s="114"/>
      <c r="BE243" s="114"/>
      <c r="BF243" s="114"/>
      <c r="BG243" s="114"/>
      <c r="BH243" s="114"/>
      <c r="BI243" s="114"/>
      <c r="BJ243" s="114"/>
      <c r="BK243" s="114"/>
      <c r="BL243" s="114"/>
      <c r="BM243" s="114"/>
      <c r="BN243" s="114"/>
    </row>
    <row r="244" spans="39:66" x14ac:dyDescent="0.2">
      <c r="AM244" s="146"/>
      <c r="AN244" s="146"/>
      <c r="AO244" s="146"/>
      <c r="AP244" s="146"/>
      <c r="AQ244" s="114"/>
      <c r="AR244" s="114"/>
      <c r="AS244" s="114"/>
      <c r="AT244" s="114"/>
      <c r="AU244" s="114"/>
      <c r="AV244" s="114"/>
      <c r="AW244" s="114"/>
      <c r="AX244" s="114"/>
      <c r="AY244" s="114"/>
      <c r="AZ244" s="114"/>
      <c r="BA244" s="114"/>
      <c r="BB244" s="114"/>
      <c r="BC244" s="114"/>
      <c r="BD244" s="114"/>
      <c r="BE244" s="114"/>
      <c r="BF244" s="114"/>
      <c r="BG244" s="114"/>
      <c r="BH244" s="114"/>
      <c r="BI244" s="114"/>
      <c r="BJ244" s="114"/>
      <c r="BK244" s="114"/>
      <c r="BL244" s="114"/>
      <c r="BM244" s="114"/>
      <c r="BN244" s="114"/>
    </row>
    <row r="245" spans="39:66" x14ac:dyDescent="0.2">
      <c r="AM245" s="146"/>
      <c r="AN245" s="146"/>
      <c r="AO245" s="146"/>
      <c r="AP245" s="146"/>
      <c r="AQ245" s="114"/>
      <c r="AR245" s="114"/>
      <c r="AS245" s="114"/>
      <c r="AT245" s="114"/>
      <c r="AU245" s="114"/>
      <c r="AV245" s="114"/>
      <c r="AW245" s="114"/>
      <c r="AX245" s="114"/>
      <c r="AY245" s="114"/>
      <c r="AZ245" s="114"/>
      <c r="BA245" s="114"/>
      <c r="BB245" s="114"/>
      <c r="BC245" s="114"/>
      <c r="BD245" s="114"/>
      <c r="BE245" s="114"/>
      <c r="BF245" s="114"/>
      <c r="BG245" s="114"/>
      <c r="BH245" s="114"/>
      <c r="BI245" s="114"/>
      <c r="BJ245" s="114"/>
      <c r="BK245" s="114"/>
      <c r="BL245" s="114"/>
      <c r="BM245" s="114"/>
      <c r="BN245" s="114"/>
    </row>
    <row r="246" spans="39:66" x14ac:dyDescent="0.2">
      <c r="AM246" s="146"/>
      <c r="AN246" s="146"/>
      <c r="AO246" s="146"/>
      <c r="AP246" s="146"/>
      <c r="AQ246" s="114"/>
      <c r="AR246" s="114"/>
      <c r="AS246" s="114"/>
      <c r="AT246" s="114"/>
      <c r="AU246" s="114"/>
      <c r="AV246" s="114"/>
      <c r="AW246" s="114"/>
      <c r="AX246" s="114"/>
      <c r="AY246" s="114"/>
      <c r="AZ246" s="114"/>
      <c r="BA246" s="114"/>
      <c r="BB246" s="114"/>
      <c r="BC246" s="114"/>
      <c r="BD246" s="114"/>
      <c r="BE246" s="114"/>
      <c r="BF246" s="114"/>
      <c r="BG246" s="114"/>
      <c r="BH246" s="114"/>
      <c r="BI246" s="114"/>
      <c r="BJ246" s="114"/>
      <c r="BK246" s="114"/>
      <c r="BL246" s="114"/>
      <c r="BM246" s="114"/>
      <c r="BN246" s="114"/>
    </row>
    <row r="247" spans="39:66" x14ac:dyDescent="0.2">
      <c r="AM247" s="146"/>
      <c r="AN247" s="146"/>
      <c r="AO247" s="146"/>
      <c r="AP247" s="146"/>
      <c r="AQ247" s="114"/>
      <c r="AR247" s="114"/>
      <c r="AS247" s="114"/>
      <c r="AT247" s="114"/>
      <c r="AU247" s="114"/>
      <c r="AV247" s="114"/>
      <c r="AW247" s="114"/>
      <c r="AX247" s="114"/>
      <c r="AY247" s="114"/>
      <c r="AZ247" s="114"/>
      <c r="BA247" s="114"/>
      <c r="BB247" s="114"/>
      <c r="BC247" s="114"/>
      <c r="BD247" s="114"/>
      <c r="BE247" s="114"/>
      <c r="BF247" s="114"/>
      <c r="BG247" s="114"/>
      <c r="BH247" s="114"/>
      <c r="BI247" s="114"/>
      <c r="BJ247" s="114"/>
      <c r="BK247" s="114"/>
      <c r="BL247" s="114"/>
      <c r="BM247" s="114"/>
      <c r="BN247" s="114"/>
    </row>
    <row r="248" spans="39:66" x14ac:dyDescent="0.2">
      <c r="AM248" s="146"/>
      <c r="AN248" s="146"/>
      <c r="AO248" s="146"/>
      <c r="AP248" s="146"/>
      <c r="AQ248" s="114"/>
      <c r="AR248" s="114"/>
      <c r="AS248" s="114"/>
      <c r="AT248" s="114"/>
      <c r="AU248" s="114"/>
      <c r="AV248" s="114"/>
      <c r="AW248" s="114"/>
      <c r="AX248" s="114"/>
      <c r="AY248" s="114"/>
      <c r="AZ248" s="114"/>
      <c r="BA248" s="114"/>
      <c r="BB248" s="114"/>
      <c r="BC248" s="114"/>
      <c r="BD248" s="114"/>
      <c r="BE248" s="114"/>
      <c r="BF248" s="114"/>
      <c r="BG248" s="114"/>
      <c r="BH248" s="114"/>
      <c r="BI248" s="114"/>
      <c r="BJ248" s="114"/>
      <c r="BK248" s="114"/>
      <c r="BL248" s="114"/>
      <c r="BM248" s="114"/>
      <c r="BN248" s="114"/>
    </row>
    <row r="249" spans="39:66" x14ac:dyDescent="0.2">
      <c r="AM249" s="146"/>
      <c r="AN249" s="146"/>
      <c r="AO249" s="146"/>
      <c r="AP249" s="146"/>
      <c r="AQ249" s="114"/>
      <c r="AR249" s="114"/>
      <c r="AS249" s="114"/>
      <c r="AT249" s="114"/>
      <c r="AU249" s="114"/>
      <c r="AV249" s="114"/>
      <c r="AW249" s="114"/>
      <c r="AX249" s="114"/>
      <c r="AY249" s="114"/>
      <c r="AZ249" s="114"/>
      <c r="BA249" s="114"/>
      <c r="BB249" s="114"/>
      <c r="BC249" s="114"/>
      <c r="BD249" s="114"/>
      <c r="BE249" s="114"/>
      <c r="BF249" s="114"/>
      <c r="BG249" s="114"/>
      <c r="BH249" s="114"/>
      <c r="BI249" s="114"/>
      <c r="BJ249" s="114"/>
      <c r="BK249" s="114"/>
      <c r="BL249" s="114"/>
      <c r="BM249" s="114"/>
      <c r="BN249" s="114"/>
    </row>
    <row r="250" spans="39:66" x14ac:dyDescent="0.2">
      <c r="AM250" s="146"/>
      <c r="AN250" s="146"/>
      <c r="AO250" s="146"/>
      <c r="AP250" s="146"/>
      <c r="AQ250" s="114"/>
      <c r="AR250" s="114"/>
      <c r="AS250" s="114"/>
      <c r="AT250" s="114"/>
      <c r="AU250" s="114"/>
      <c r="AV250" s="114"/>
      <c r="AW250" s="114"/>
      <c r="AX250" s="114"/>
      <c r="AY250" s="114"/>
      <c r="AZ250" s="114"/>
      <c r="BA250" s="114"/>
      <c r="BB250" s="114"/>
      <c r="BC250" s="114"/>
      <c r="BD250" s="114"/>
      <c r="BE250" s="114"/>
      <c r="BF250" s="114"/>
      <c r="BG250" s="114"/>
      <c r="BH250" s="114"/>
      <c r="BI250" s="114"/>
      <c r="BJ250" s="114"/>
      <c r="BK250" s="114"/>
      <c r="BL250" s="114"/>
      <c r="BM250" s="114"/>
      <c r="BN250" s="114"/>
    </row>
    <row r="251" spans="39:66" x14ac:dyDescent="0.2">
      <c r="AM251" s="146"/>
      <c r="AN251" s="146"/>
      <c r="AO251" s="146"/>
      <c r="AP251" s="146"/>
      <c r="AQ251" s="114"/>
      <c r="AR251" s="114"/>
      <c r="AS251" s="114"/>
      <c r="AT251" s="114"/>
      <c r="AU251" s="114"/>
      <c r="AV251" s="114"/>
      <c r="AW251" s="114"/>
      <c r="AX251" s="114"/>
      <c r="AY251" s="114"/>
      <c r="AZ251" s="114"/>
      <c r="BA251" s="114"/>
      <c r="BB251" s="114"/>
      <c r="BC251" s="114"/>
      <c r="BD251" s="114"/>
      <c r="BE251" s="114"/>
      <c r="BF251" s="114"/>
      <c r="BG251" s="114"/>
      <c r="BH251" s="114"/>
      <c r="BI251" s="114"/>
      <c r="BJ251" s="114"/>
      <c r="BK251" s="114"/>
      <c r="BL251" s="114"/>
      <c r="BM251" s="114"/>
      <c r="BN251" s="114"/>
    </row>
    <row r="252" spans="39:66" x14ac:dyDescent="0.2">
      <c r="AM252" s="146"/>
      <c r="AN252" s="146"/>
      <c r="AO252" s="146"/>
      <c r="AP252" s="146"/>
      <c r="AQ252" s="114"/>
      <c r="AR252" s="114"/>
      <c r="AS252" s="114"/>
      <c r="AT252" s="114"/>
      <c r="AU252" s="114"/>
      <c r="AV252" s="114"/>
      <c r="AW252" s="114"/>
      <c r="AX252" s="114"/>
      <c r="AY252" s="114"/>
      <c r="AZ252" s="114"/>
      <c r="BA252" s="114"/>
      <c r="BB252" s="114"/>
      <c r="BC252" s="114"/>
      <c r="BD252" s="114"/>
      <c r="BE252" s="114"/>
      <c r="BF252" s="114"/>
      <c r="BG252" s="114"/>
      <c r="BH252" s="114"/>
      <c r="BI252" s="114"/>
      <c r="BJ252" s="114"/>
      <c r="BK252" s="114"/>
      <c r="BL252" s="114"/>
      <c r="BM252" s="114"/>
      <c r="BN252" s="114"/>
    </row>
    <row r="253" spans="39:66" x14ac:dyDescent="0.2">
      <c r="AM253" s="146"/>
      <c r="AN253" s="146"/>
      <c r="AO253" s="146"/>
      <c r="AP253" s="146"/>
      <c r="AQ253" s="114"/>
      <c r="AR253" s="114"/>
      <c r="AS253" s="114"/>
      <c r="AT253" s="114"/>
      <c r="AU253" s="114"/>
      <c r="AV253" s="114"/>
      <c r="AW253" s="114"/>
      <c r="AX253" s="114"/>
      <c r="AY253" s="114"/>
      <c r="AZ253" s="114"/>
      <c r="BA253" s="114"/>
      <c r="BB253" s="114"/>
      <c r="BC253" s="114"/>
      <c r="BD253" s="114"/>
      <c r="BE253" s="114"/>
      <c r="BF253" s="114"/>
      <c r="BG253" s="114"/>
      <c r="BH253" s="114"/>
      <c r="BI253" s="114"/>
      <c r="BJ253" s="114"/>
      <c r="BK253" s="114"/>
      <c r="BL253" s="114"/>
      <c r="BM253" s="114"/>
      <c r="BN253" s="114"/>
    </row>
    <row r="254" spans="39:66" x14ac:dyDescent="0.2">
      <c r="AM254" s="146"/>
      <c r="AN254" s="146"/>
      <c r="AO254" s="146"/>
      <c r="AP254" s="146"/>
      <c r="AQ254" s="114"/>
      <c r="AR254" s="114"/>
      <c r="AS254" s="114"/>
      <c r="AT254" s="114"/>
      <c r="AU254" s="114"/>
      <c r="AV254" s="114"/>
      <c r="AW254" s="114"/>
      <c r="AX254" s="114"/>
      <c r="AY254" s="114"/>
      <c r="AZ254" s="114"/>
      <c r="BA254" s="114"/>
      <c r="BB254" s="114"/>
      <c r="BC254" s="114"/>
      <c r="BD254" s="114"/>
      <c r="BE254" s="114"/>
      <c r="BF254" s="114"/>
      <c r="BG254" s="114"/>
      <c r="BH254" s="114"/>
      <c r="BI254" s="114"/>
      <c r="BJ254" s="114"/>
      <c r="BK254" s="114"/>
      <c r="BL254" s="114"/>
      <c r="BM254" s="114"/>
      <c r="BN254" s="114"/>
    </row>
    <row r="255" spans="39:66" x14ac:dyDescent="0.2">
      <c r="AM255" s="146"/>
      <c r="AN255" s="146"/>
      <c r="AO255" s="146"/>
      <c r="AP255" s="146"/>
      <c r="AQ255" s="114"/>
      <c r="AR255" s="114"/>
      <c r="AS255" s="114"/>
      <c r="AT255" s="114"/>
      <c r="AU255" s="114"/>
      <c r="AV255" s="114"/>
      <c r="AW255" s="114"/>
      <c r="AX255" s="114"/>
      <c r="AY255" s="114"/>
      <c r="AZ255" s="114"/>
      <c r="BA255" s="114"/>
      <c r="BB255" s="114"/>
      <c r="BC255" s="114"/>
      <c r="BD255" s="114"/>
      <c r="BE255" s="114"/>
      <c r="BF255" s="114"/>
      <c r="BG255" s="114"/>
      <c r="BH255" s="114"/>
      <c r="BI255" s="114"/>
      <c r="BJ255" s="114"/>
      <c r="BK255" s="114"/>
      <c r="BL255" s="114"/>
      <c r="BM255" s="114"/>
      <c r="BN255" s="114"/>
    </row>
    <row r="256" spans="39:66" x14ac:dyDescent="0.2">
      <c r="AM256" s="146"/>
      <c r="AN256" s="146"/>
      <c r="AO256" s="146"/>
      <c r="AP256" s="146"/>
      <c r="AQ256" s="114"/>
      <c r="AR256" s="114"/>
      <c r="AS256" s="114"/>
      <c r="AT256" s="114"/>
      <c r="AU256" s="114"/>
      <c r="AV256" s="114"/>
      <c r="AW256" s="114"/>
      <c r="AX256" s="114"/>
      <c r="AY256" s="114"/>
      <c r="AZ256" s="114"/>
      <c r="BA256" s="114"/>
      <c r="BB256" s="114"/>
      <c r="BC256" s="114"/>
      <c r="BD256" s="114"/>
      <c r="BE256" s="114"/>
      <c r="BF256" s="114"/>
      <c r="BG256" s="114"/>
      <c r="BH256" s="114"/>
      <c r="BI256" s="114"/>
      <c r="BJ256" s="114"/>
      <c r="BK256" s="114"/>
      <c r="BL256" s="114"/>
      <c r="BM256" s="114"/>
      <c r="BN256" s="114"/>
    </row>
    <row r="257" spans="39:66" x14ac:dyDescent="0.2">
      <c r="AM257" s="146"/>
      <c r="AN257" s="146"/>
      <c r="AO257" s="146"/>
      <c r="AP257" s="146"/>
      <c r="AQ257" s="114"/>
      <c r="AR257" s="114"/>
      <c r="AS257" s="114"/>
      <c r="AT257" s="114"/>
      <c r="AU257" s="114"/>
      <c r="AV257" s="114"/>
      <c r="AW257" s="114"/>
      <c r="AX257" s="114"/>
      <c r="AY257" s="114"/>
      <c r="AZ257" s="114"/>
      <c r="BA257" s="114"/>
      <c r="BB257" s="114"/>
      <c r="BC257" s="114"/>
      <c r="BD257" s="114"/>
      <c r="BE257" s="114"/>
      <c r="BF257" s="114"/>
      <c r="BG257" s="114"/>
      <c r="BH257" s="114"/>
      <c r="BI257" s="114"/>
      <c r="BJ257" s="114"/>
      <c r="BK257" s="114"/>
      <c r="BL257" s="114"/>
      <c r="BM257" s="114"/>
      <c r="BN257" s="114"/>
    </row>
    <row r="258" spans="39:66" x14ac:dyDescent="0.2">
      <c r="AM258" s="146"/>
      <c r="AN258" s="146"/>
      <c r="AO258" s="146"/>
      <c r="AP258" s="146"/>
      <c r="AQ258" s="114"/>
      <c r="AR258" s="114"/>
      <c r="AS258" s="114"/>
      <c r="AT258" s="114"/>
      <c r="AU258" s="114"/>
      <c r="AV258" s="114"/>
      <c r="AW258" s="114"/>
      <c r="AX258" s="114"/>
      <c r="AY258" s="114"/>
      <c r="AZ258" s="114"/>
      <c r="BA258" s="114"/>
      <c r="BB258" s="114"/>
      <c r="BC258" s="114"/>
      <c r="BD258" s="114"/>
      <c r="BE258" s="114"/>
      <c r="BF258" s="114"/>
      <c r="BG258" s="114"/>
      <c r="BH258" s="114"/>
      <c r="BI258" s="114"/>
      <c r="BJ258" s="114"/>
      <c r="BK258" s="114"/>
      <c r="BL258" s="114"/>
      <c r="BM258" s="114"/>
      <c r="BN258" s="114"/>
    </row>
    <row r="259" spans="39:66" x14ac:dyDescent="0.2">
      <c r="AM259" s="146"/>
      <c r="AN259" s="146"/>
      <c r="AO259" s="146"/>
      <c r="AP259" s="146"/>
      <c r="AQ259" s="114"/>
      <c r="AR259" s="114"/>
      <c r="AS259" s="114"/>
      <c r="AT259" s="114"/>
      <c r="AU259" s="114"/>
      <c r="AV259" s="114"/>
      <c r="AW259" s="114"/>
      <c r="AX259" s="114"/>
      <c r="AY259" s="114"/>
      <c r="AZ259" s="114"/>
      <c r="BA259" s="114"/>
      <c r="BB259" s="114"/>
      <c r="BC259" s="114"/>
      <c r="BD259" s="114"/>
      <c r="BE259" s="114"/>
      <c r="BF259" s="114"/>
      <c r="BG259" s="114"/>
      <c r="BH259" s="114"/>
      <c r="BI259" s="114"/>
      <c r="BJ259" s="114"/>
      <c r="BK259" s="114"/>
      <c r="BL259" s="114"/>
      <c r="BM259" s="114"/>
      <c r="BN259" s="114"/>
    </row>
    <row r="260" spans="39:66" x14ac:dyDescent="0.2">
      <c r="AM260" s="146"/>
      <c r="AN260" s="146"/>
      <c r="AO260" s="146"/>
      <c r="AP260" s="146"/>
      <c r="AQ260" s="114"/>
      <c r="AR260" s="114"/>
      <c r="AS260" s="114"/>
      <c r="AT260" s="114"/>
      <c r="AU260" s="114"/>
      <c r="AV260" s="114"/>
      <c r="AW260" s="114"/>
      <c r="AX260" s="114"/>
      <c r="AY260" s="114"/>
      <c r="AZ260" s="114"/>
      <c r="BA260" s="114"/>
      <c r="BB260" s="114"/>
      <c r="BC260" s="114"/>
      <c r="BD260" s="114"/>
      <c r="BE260" s="114"/>
      <c r="BF260" s="114"/>
      <c r="BG260" s="114"/>
      <c r="BH260" s="114"/>
      <c r="BI260" s="114"/>
      <c r="BJ260" s="114"/>
      <c r="BK260" s="114"/>
      <c r="BL260" s="114"/>
      <c r="BM260" s="114"/>
      <c r="BN260" s="114"/>
    </row>
    <row r="261" spans="39:66" x14ac:dyDescent="0.2">
      <c r="AM261" s="146"/>
      <c r="AN261" s="146"/>
      <c r="AO261" s="146"/>
      <c r="AP261" s="146"/>
      <c r="AQ261" s="114"/>
      <c r="AR261" s="114"/>
      <c r="AS261" s="114"/>
      <c r="AT261" s="114"/>
      <c r="AU261" s="114"/>
      <c r="AV261" s="114"/>
      <c r="AW261" s="114"/>
      <c r="AX261" s="114"/>
      <c r="AY261" s="114"/>
      <c r="AZ261" s="114"/>
      <c r="BA261" s="114"/>
      <c r="BB261" s="114"/>
      <c r="BC261" s="114"/>
      <c r="BD261" s="114"/>
      <c r="BE261" s="114"/>
      <c r="BF261" s="114"/>
      <c r="BG261" s="114"/>
      <c r="BH261" s="114"/>
      <c r="BI261" s="114"/>
      <c r="BJ261" s="114"/>
      <c r="BK261" s="114"/>
      <c r="BL261" s="114"/>
      <c r="BM261" s="114"/>
      <c r="BN261" s="114"/>
    </row>
    <row r="262" spans="39:66" x14ac:dyDescent="0.2">
      <c r="AM262" s="146"/>
      <c r="AN262" s="146"/>
      <c r="AO262" s="146"/>
      <c r="AP262" s="146"/>
      <c r="AQ262" s="114"/>
      <c r="AR262" s="114"/>
      <c r="AS262" s="114"/>
      <c r="AT262" s="114"/>
      <c r="AU262" s="114"/>
      <c r="AV262" s="114"/>
      <c r="AW262" s="114"/>
      <c r="AX262" s="114"/>
      <c r="AY262" s="114"/>
      <c r="AZ262" s="114"/>
      <c r="BA262" s="114"/>
      <c r="BB262" s="114"/>
      <c r="BC262" s="114"/>
      <c r="BD262" s="114"/>
      <c r="BE262" s="114"/>
      <c r="BF262" s="114"/>
      <c r="BG262" s="114"/>
      <c r="BH262" s="114"/>
      <c r="BI262" s="114"/>
      <c r="BJ262" s="114"/>
      <c r="BK262" s="114"/>
      <c r="BL262" s="114"/>
      <c r="BM262" s="114"/>
      <c r="BN262" s="114"/>
    </row>
    <row r="263" spans="39:66" x14ac:dyDescent="0.2">
      <c r="AM263" s="146"/>
      <c r="AN263" s="146"/>
      <c r="AO263" s="146"/>
      <c r="AP263" s="146"/>
      <c r="AQ263" s="114"/>
      <c r="AR263" s="114"/>
      <c r="AS263" s="114"/>
      <c r="AT263" s="114"/>
      <c r="AU263" s="114"/>
      <c r="AV263" s="114"/>
      <c r="AW263" s="114"/>
      <c r="AX263" s="114"/>
      <c r="AY263" s="114"/>
      <c r="AZ263" s="114"/>
      <c r="BA263" s="114"/>
      <c r="BB263" s="114"/>
      <c r="BC263" s="114"/>
      <c r="BD263" s="114"/>
      <c r="BE263" s="114"/>
      <c r="BF263" s="114"/>
      <c r="BG263" s="114"/>
      <c r="BH263" s="114"/>
      <c r="BI263" s="114"/>
      <c r="BJ263" s="114"/>
      <c r="BK263" s="114"/>
      <c r="BL263" s="114"/>
      <c r="BM263" s="114"/>
      <c r="BN263" s="114"/>
    </row>
    <row r="264" spans="39:66" x14ac:dyDescent="0.2">
      <c r="AM264" s="146"/>
      <c r="AN264" s="146"/>
      <c r="AO264" s="146"/>
      <c r="AP264" s="146"/>
      <c r="AQ264" s="114"/>
      <c r="AR264" s="114"/>
      <c r="AS264" s="114"/>
      <c r="AT264" s="114"/>
      <c r="AU264" s="114"/>
      <c r="AV264" s="114"/>
      <c r="AW264" s="114"/>
      <c r="AX264" s="114"/>
      <c r="AY264" s="114"/>
      <c r="AZ264" s="114"/>
      <c r="BA264" s="114"/>
      <c r="BB264" s="114"/>
      <c r="BC264" s="114"/>
      <c r="BD264" s="114"/>
      <c r="BE264" s="114"/>
      <c r="BF264" s="114"/>
      <c r="BG264" s="114"/>
      <c r="BH264" s="114"/>
      <c r="BI264" s="114"/>
      <c r="BJ264" s="114"/>
      <c r="BK264" s="114"/>
      <c r="BL264" s="114"/>
      <c r="BM264" s="114"/>
      <c r="BN264" s="114"/>
    </row>
    <row r="265" spans="39:66" x14ac:dyDescent="0.2">
      <c r="AM265" s="146"/>
      <c r="AN265" s="146"/>
      <c r="AO265" s="146"/>
      <c r="AP265" s="146"/>
      <c r="AQ265" s="114"/>
      <c r="AR265" s="114"/>
      <c r="AS265" s="114"/>
      <c r="AT265" s="114"/>
      <c r="AU265" s="114"/>
      <c r="AV265" s="114"/>
      <c r="AW265" s="114"/>
      <c r="AX265" s="114"/>
      <c r="AY265" s="114"/>
      <c r="AZ265" s="114"/>
      <c r="BA265" s="114"/>
      <c r="BB265" s="114"/>
      <c r="BC265" s="114"/>
      <c r="BD265" s="114"/>
      <c r="BE265" s="114"/>
      <c r="BF265" s="114"/>
      <c r="BG265" s="114"/>
      <c r="BH265" s="114"/>
      <c r="BI265" s="114"/>
      <c r="BJ265" s="114"/>
      <c r="BK265" s="114"/>
      <c r="BL265" s="114"/>
      <c r="BM265" s="114"/>
      <c r="BN265" s="114"/>
    </row>
    <row r="266" spans="39:66" x14ac:dyDescent="0.2">
      <c r="AM266" s="146"/>
      <c r="AN266" s="146"/>
      <c r="AO266" s="146"/>
      <c r="AP266" s="146"/>
      <c r="AQ266" s="114"/>
      <c r="AR266" s="114"/>
      <c r="AS266" s="114"/>
      <c r="AT266" s="114"/>
      <c r="AU266" s="114"/>
      <c r="AV266" s="114"/>
      <c r="AW266" s="114"/>
      <c r="AX266" s="114"/>
      <c r="AY266" s="114"/>
      <c r="AZ266" s="114"/>
      <c r="BA266" s="114"/>
      <c r="BB266" s="114"/>
      <c r="BC266" s="114"/>
      <c r="BD266" s="114"/>
      <c r="BE266" s="114"/>
      <c r="BF266" s="114"/>
      <c r="BG266" s="114"/>
      <c r="BH266" s="114"/>
      <c r="BI266" s="114"/>
      <c r="BJ266" s="114"/>
      <c r="BK266" s="114"/>
      <c r="BL266" s="114"/>
      <c r="BM266" s="114"/>
      <c r="BN266" s="114"/>
    </row>
    <row r="267" spans="39:66" x14ac:dyDescent="0.2">
      <c r="AM267" s="146"/>
      <c r="AN267" s="146"/>
      <c r="AO267" s="146"/>
      <c r="AP267" s="146"/>
      <c r="AQ267" s="114"/>
      <c r="AR267" s="114"/>
      <c r="AS267" s="114"/>
      <c r="AT267" s="114"/>
      <c r="AU267" s="114"/>
      <c r="AV267" s="114"/>
      <c r="AW267" s="114"/>
      <c r="AX267" s="114"/>
      <c r="AY267" s="114"/>
      <c r="AZ267" s="114"/>
      <c r="BA267" s="114"/>
      <c r="BB267" s="114"/>
      <c r="BC267" s="114"/>
      <c r="BD267" s="114"/>
      <c r="BE267" s="114"/>
      <c r="BF267" s="114"/>
      <c r="BG267" s="114"/>
      <c r="BH267" s="114"/>
      <c r="BI267" s="114"/>
      <c r="BJ267" s="114"/>
      <c r="BK267" s="114"/>
      <c r="BL267" s="114"/>
      <c r="BM267" s="114"/>
      <c r="BN267" s="114"/>
    </row>
    <row r="268" spans="39:66" x14ac:dyDescent="0.2">
      <c r="AM268" s="146"/>
      <c r="AN268" s="146"/>
      <c r="AO268" s="146"/>
      <c r="AP268" s="146"/>
      <c r="AQ268" s="114"/>
      <c r="AR268" s="114"/>
      <c r="AS268" s="114"/>
      <c r="AT268" s="114"/>
      <c r="AU268" s="114"/>
      <c r="AV268" s="114"/>
      <c r="AW268" s="114"/>
      <c r="AX268" s="114"/>
      <c r="AY268" s="114"/>
      <c r="AZ268" s="114"/>
      <c r="BA268" s="114"/>
      <c r="BB268" s="114"/>
      <c r="BC268" s="114"/>
      <c r="BD268" s="114"/>
      <c r="BE268" s="114"/>
      <c r="BF268" s="114"/>
      <c r="BG268" s="114"/>
      <c r="BH268" s="114"/>
      <c r="BI268" s="114"/>
      <c r="BJ268" s="114"/>
      <c r="BK268" s="114"/>
      <c r="BL268" s="114"/>
      <c r="BM268" s="114"/>
      <c r="BN268" s="114"/>
    </row>
    <row r="269" spans="39:66" x14ac:dyDescent="0.2">
      <c r="AM269" s="146"/>
      <c r="AN269" s="146"/>
      <c r="AO269" s="146"/>
      <c r="AP269" s="146"/>
      <c r="AQ269" s="114"/>
      <c r="AR269" s="114"/>
      <c r="AS269" s="114"/>
      <c r="AT269" s="114"/>
      <c r="AU269" s="114"/>
      <c r="AV269" s="114"/>
      <c r="AW269" s="114"/>
      <c r="AX269" s="114"/>
      <c r="AY269" s="114"/>
      <c r="AZ269" s="114"/>
      <c r="BA269" s="114"/>
      <c r="BB269" s="114"/>
      <c r="BC269" s="114"/>
      <c r="BD269" s="114"/>
      <c r="BE269" s="114"/>
      <c r="BF269" s="114"/>
      <c r="BG269" s="114"/>
      <c r="BH269" s="114"/>
      <c r="BI269" s="114"/>
      <c r="BJ269" s="114"/>
      <c r="BK269" s="114"/>
      <c r="BL269" s="114"/>
      <c r="BM269" s="114"/>
      <c r="BN269" s="114"/>
    </row>
    <row r="270" spans="39:66" x14ac:dyDescent="0.2">
      <c r="AM270" s="146"/>
      <c r="AN270" s="146"/>
      <c r="AO270" s="146"/>
      <c r="AP270" s="146"/>
      <c r="AQ270" s="114"/>
      <c r="AR270" s="114"/>
      <c r="AS270" s="114"/>
      <c r="AT270" s="114"/>
      <c r="AU270" s="114"/>
      <c r="AV270" s="114"/>
      <c r="AW270" s="114"/>
      <c r="AX270" s="114"/>
      <c r="AY270" s="114"/>
      <c r="AZ270" s="114"/>
      <c r="BA270" s="114"/>
      <c r="BB270" s="114"/>
      <c r="BC270" s="114"/>
      <c r="BD270" s="114"/>
      <c r="BE270" s="114"/>
      <c r="BF270" s="114"/>
      <c r="BG270" s="114"/>
      <c r="BH270" s="114"/>
      <c r="BI270" s="114"/>
      <c r="BJ270" s="114"/>
      <c r="BK270" s="114"/>
      <c r="BL270" s="114"/>
      <c r="BM270" s="114"/>
      <c r="BN270" s="114"/>
    </row>
    <row r="271" spans="39:66" x14ac:dyDescent="0.2">
      <c r="AM271" s="146"/>
      <c r="AN271" s="146"/>
      <c r="AO271" s="146"/>
      <c r="AP271" s="146"/>
      <c r="AQ271" s="114"/>
      <c r="AR271" s="114"/>
      <c r="AS271" s="114"/>
      <c r="AT271" s="114"/>
      <c r="AU271" s="114"/>
      <c r="AV271" s="114"/>
      <c r="AW271" s="114"/>
      <c r="AX271" s="114"/>
      <c r="AY271" s="114"/>
      <c r="AZ271" s="114"/>
      <c r="BA271" s="114"/>
      <c r="BB271" s="114"/>
      <c r="BC271" s="114"/>
      <c r="BD271" s="114"/>
      <c r="BE271" s="114"/>
      <c r="BF271" s="114"/>
      <c r="BG271" s="114"/>
      <c r="BH271" s="114"/>
      <c r="BI271" s="114"/>
      <c r="BJ271" s="114"/>
      <c r="BK271" s="114"/>
      <c r="BL271" s="114"/>
      <c r="BM271" s="114"/>
      <c r="BN271" s="114"/>
    </row>
    <row r="272" spans="39:66" x14ac:dyDescent="0.2">
      <c r="AM272" s="146"/>
      <c r="AN272" s="146"/>
      <c r="AO272" s="146"/>
      <c r="AP272" s="146"/>
      <c r="AQ272" s="114"/>
      <c r="AR272" s="114"/>
      <c r="AS272" s="114"/>
      <c r="AT272" s="114"/>
      <c r="AU272" s="114"/>
      <c r="AV272" s="114"/>
      <c r="AW272" s="114"/>
      <c r="AX272" s="114"/>
      <c r="AY272" s="114"/>
      <c r="AZ272" s="114"/>
      <c r="BA272" s="114"/>
      <c r="BB272" s="114"/>
      <c r="BC272" s="114"/>
      <c r="BD272" s="114"/>
      <c r="BE272" s="114"/>
      <c r="BF272" s="114"/>
      <c r="BG272" s="114"/>
      <c r="BH272" s="114"/>
      <c r="BI272" s="114"/>
      <c r="BJ272" s="114"/>
      <c r="BK272" s="114"/>
      <c r="BL272" s="114"/>
      <c r="BM272" s="114"/>
      <c r="BN272" s="114"/>
    </row>
    <row r="273" spans="39:66" x14ac:dyDescent="0.2">
      <c r="AM273" s="146"/>
      <c r="AN273" s="146"/>
      <c r="AO273" s="146"/>
      <c r="AP273" s="146"/>
      <c r="AQ273" s="114"/>
      <c r="AR273" s="114"/>
      <c r="AS273" s="114"/>
      <c r="AT273" s="114"/>
      <c r="AU273" s="114"/>
      <c r="AV273" s="114"/>
      <c r="AW273" s="114"/>
      <c r="AX273" s="114"/>
      <c r="AY273" s="114"/>
      <c r="AZ273" s="114"/>
      <c r="BA273" s="114"/>
      <c r="BB273" s="114"/>
      <c r="BC273" s="114"/>
      <c r="BD273" s="114"/>
      <c r="BE273" s="114"/>
      <c r="BF273" s="114"/>
      <c r="BG273" s="114"/>
      <c r="BH273" s="114"/>
      <c r="BI273" s="114"/>
      <c r="BJ273" s="114"/>
      <c r="BK273" s="114"/>
      <c r="BL273" s="114"/>
      <c r="BM273" s="114"/>
      <c r="BN273" s="114"/>
    </row>
    <row r="274" spans="39:66" x14ac:dyDescent="0.2">
      <c r="AM274" s="146"/>
      <c r="AN274" s="146"/>
      <c r="AO274" s="146"/>
      <c r="AP274" s="146"/>
      <c r="AQ274" s="114"/>
      <c r="AR274" s="114"/>
      <c r="AS274" s="114"/>
      <c r="AT274" s="114"/>
      <c r="AU274" s="114"/>
      <c r="AV274" s="114"/>
      <c r="AW274" s="114"/>
      <c r="AX274" s="114"/>
      <c r="AY274" s="114"/>
      <c r="AZ274" s="114"/>
      <c r="BA274" s="114"/>
      <c r="BB274" s="114"/>
      <c r="BC274" s="114"/>
      <c r="BD274" s="114"/>
      <c r="BE274" s="114"/>
      <c r="BF274" s="114"/>
      <c r="BG274" s="114"/>
      <c r="BH274" s="114"/>
      <c r="BI274" s="114"/>
      <c r="BJ274" s="114"/>
      <c r="BK274" s="114"/>
      <c r="BL274" s="114"/>
      <c r="BM274" s="114"/>
      <c r="BN274" s="114"/>
    </row>
    <row r="275" spans="39:66" x14ac:dyDescent="0.2">
      <c r="AM275" s="146"/>
      <c r="AN275" s="146"/>
      <c r="AO275" s="146"/>
      <c r="AP275" s="146"/>
      <c r="AQ275" s="114"/>
      <c r="AR275" s="114"/>
      <c r="AS275" s="114"/>
      <c r="AT275" s="114"/>
      <c r="AU275" s="114"/>
      <c r="AV275" s="114"/>
      <c r="AW275" s="114"/>
      <c r="AX275" s="114"/>
      <c r="AY275" s="114"/>
      <c r="AZ275" s="114"/>
      <c r="BA275" s="114"/>
      <c r="BB275" s="114"/>
      <c r="BC275" s="114"/>
      <c r="BD275" s="114"/>
      <c r="BE275" s="114"/>
      <c r="BF275" s="114"/>
      <c r="BG275" s="114"/>
      <c r="BH275" s="114"/>
      <c r="BI275" s="114"/>
      <c r="BJ275" s="114"/>
      <c r="BK275" s="114"/>
      <c r="BL275" s="114"/>
      <c r="BM275" s="114"/>
      <c r="BN275" s="114"/>
    </row>
    <row r="276" spans="39:66" x14ac:dyDescent="0.2">
      <c r="AM276" s="146"/>
      <c r="AN276" s="146"/>
      <c r="AO276" s="146"/>
      <c r="AP276" s="146"/>
      <c r="AQ276" s="114"/>
      <c r="AR276" s="114"/>
      <c r="AS276" s="114"/>
      <c r="AT276" s="114"/>
      <c r="AU276" s="114"/>
      <c r="AV276" s="114"/>
      <c r="AW276" s="114"/>
      <c r="AX276" s="114"/>
      <c r="AY276" s="114"/>
      <c r="AZ276" s="114"/>
      <c r="BA276" s="114"/>
      <c r="BB276" s="114"/>
      <c r="BC276" s="114"/>
      <c r="BD276" s="114"/>
      <c r="BE276" s="114"/>
      <c r="BF276" s="114"/>
      <c r="BG276" s="114"/>
      <c r="BH276" s="114"/>
      <c r="BI276" s="114"/>
      <c r="BJ276" s="114"/>
      <c r="BK276" s="114"/>
      <c r="BL276" s="114"/>
      <c r="BM276" s="114"/>
      <c r="BN276" s="114"/>
    </row>
    <row r="277" spans="39:66" x14ac:dyDescent="0.2">
      <c r="AM277" s="146"/>
      <c r="AN277" s="146"/>
      <c r="AO277" s="146"/>
      <c r="AP277" s="146"/>
      <c r="AQ277" s="114"/>
      <c r="AR277" s="114"/>
      <c r="AS277" s="114"/>
      <c r="AT277" s="114"/>
      <c r="AU277" s="114"/>
      <c r="AV277" s="114"/>
      <c r="AW277" s="114"/>
      <c r="AX277" s="114"/>
      <c r="AY277" s="114"/>
      <c r="AZ277" s="114"/>
      <c r="BA277" s="114"/>
      <c r="BB277" s="114"/>
      <c r="BC277" s="114"/>
      <c r="BD277" s="114"/>
      <c r="BE277" s="114"/>
      <c r="BF277" s="114"/>
      <c r="BG277" s="114"/>
      <c r="BH277" s="114"/>
      <c r="BI277" s="114"/>
      <c r="BJ277" s="114"/>
      <c r="BK277" s="114"/>
      <c r="BL277" s="114"/>
      <c r="BM277" s="114"/>
      <c r="BN277" s="114"/>
    </row>
    <row r="278" spans="39:66" x14ac:dyDescent="0.2">
      <c r="AM278" s="146"/>
      <c r="AN278" s="146"/>
      <c r="AO278" s="146"/>
      <c r="AP278" s="146"/>
      <c r="AQ278" s="114"/>
      <c r="AR278" s="114"/>
      <c r="AS278" s="114"/>
      <c r="AT278" s="114"/>
      <c r="AU278" s="114"/>
      <c r="AV278" s="114"/>
      <c r="AW278" s="114"/>
      <c r="AX278" s="114"/>
      <c r="AY278" s="114"/>
      <c r="AZ278" s="114"/>
      <c r="BA278" s="114"/>
      <c r="BB278" s="114"/>
      <c r="BC278" s="114"/>
      <c r="BD278" s="114"/>
      <c r="BE278" s="114"/>
      <c r="BF278" s="114"/>
      <c r="BG278" s="114"/>
      <c r="BH278" s="114"/>
      <c r="BI278" s="114"/>
      <c r="BJ278" s="114"/>
      <c r="BK278" s="114"/>
      <c r="BL278" s="114"/>
      <c r="BM278" s="114"/>
      <c r="BN278" s="114"/>
    </row>
    <row r="279" spans="39:66" x14ac:dyDescent="0.2">
      <c r="AM279" s="146"/>
      <c r="AN279" s="146"/>
      <c r="AO279" s="146"/>
      <c r="AP279" s="146"/>
      <c r="AQ279" s="114"/>
      <c r="AR279" s="114"/>
      <c r="AS279" s="114"/>
      <c r="AT279" s="114"/>
      <c r="AU279" s="114"/>
      <c r="AV279" s="114"/>
      <c r="AW279" s="114"/>
      <c r="AX279" s="114"/>
      <c r="AY279" s="114"/>
      <c r="AZ279" s="114"/>
      <c r="BA279" s="114"/>
      <c r="BB279" s="114"/>
      <c r="BC279" s="114"/>
      <c r="BD279" s="114"/>
      <c r="BE279" s="114"/>
      <c r="BF279" s="114"/>
      <c r="BG279" s="114"/>
      <c r="BH279" s="114"/>
      <c r="BI279" s="114"/>
      <c r="BJ279" s="114"/>
      <c r="BK279" s="114"/>
      <c r="BL279" s="114"/>
      <c r="BM279" s="114"/>
      <c r="BN279" s="114"/>
    </row>
    <row r="280" spans="39:66" x14ac:dyDescent="0.2">
      <c r="AM280" s="146"/>
      <c r="AN280" s="146"/>
      <c r="AO280" s="146"/>
      <c r="AP280" s="146"/>
      <c r="AQ280" s="114"/>
      <c r="AR280" s="114"/>
      <c r="AS280" s="114"/>
      <c r="AT280" s="114"/>
      <c r="AU280" s="114"/>
      <c r="AV280" s="114"/>
      <c r="AW280" s="114"/>
      <c r="AX280" s="114"/>
      <c r="AY280" s="114"/>
      <c r="AZ280" s="114"/>
      <c r="BA280" s="114"/>
      <c r="BB280" s="114"/>
      <c r="BC280" s="114"/>
      <c r="BD280" s="114"/>
      <c r="BE280" s="114"/>
      <c r="BF280" s="114"/>
      <c r="BG280" s="114"/>
      <c r="BH280" s="114"/>
      <c r="BI280" s="114"/>
      <c r="BJ280" s="114"/>
      <c r="BK280" s="114"/>
      <c r="BL280" s="114"/>
      <c r="BM280" s="114"/>
      <c r="BN280" s="114"/>
    </row>
    <row r="281" spans="39:66" x14ac:dyDescent="0.2">
      <c r="AM281" s="146"/>
      <c r="AN281" s="146"/>
      <c r="AO281" s="146"/>
      <c r="AP281" s="146"/>
      <c r="AQ281" s="114"/>
      <c r="AR281" s="114"/>
      <c r="AS281" s="114"/>
      <c r="AT281" s="114"/>
      <c r="AU281" s="114"/>
      <c r="AV281" s="114"/>
      <c r="AW281" s="114"/>
      <c r="AX281" s="114"/>
      <c r="AY281" s="114"/>
      <c r="AZ281" s="114"/>
      <c r="BA281" s="114"/>
      <c r="BB281" s="114"/>
      <c r="BC281" s="114"/>
      <c r="BD281" s="114"/>
      <c r="BE281" s="114"/>
      <c r="BF281" s="114"/>
      <c r="BG281" s="114"/>
      <c r="BH281" s="114"/>
      <c r="BI281" s="114"/>
      <c r="BJ281" s="114"/>
      <c r="BK281" s="114"/>
      <c r="BL281" s="114"/>
      <c r="BM281" s="114"/>
      <c r="BN281" s="114"/>
    </row>
    <row r="282" spans="39:66" x14ac:dyDescent="0.2">
      <c r="AM282" s="146"/>
      <c r="AN282" s="146"/>
      <c r="AO282" s="146"/>
      <c r="AP282" s="146"/>
      <c r="AQ282" s="114"/>
      <c r="AR282" s="114"/>
      <c r="AS282" s="114"/>
      <c r="AT282" s="114"/>
      <c r="AU282" s="114"/>
      <c r="AV282" s="114"/>
      <c r="AW282" s="114"/>
      <c r="AX282" s="114"/>
      <c r="AY282" s="114"/>
      <c r="AZ282" s="114"/>
      <c r="BA282" s="114"/>
      <c r="BB282" s="114"/>
      <c r="BC282" s="114"/>
      <c r="BD282" s="114"/>
      <c r="BE282" s="114"/>
      <c r="BF282" s="114"/>
      <c r="BG282" s="114"/>
      <c r="BH282" s="114"/>
      <c r="BI282" s="114"/>
      <c r="BJ282" s="114"/>
      <c r="BK282" s="114"/>
      <c r="BL282" s="114"/>
      <c r="BM282" s="114"/>
      <c r="BN282" s="114"/>
    </row>
    <row r="283" spans="39:66" x14ac:dyDescent="0.2">
      <c r="AM283" s="146"/>
      <c r="AN283" s="146"/>
      <c r="AO283" s="146"/>
      <c r="AP283" s="146"/>
      <c r="AQ283" s="114"/>
      <c r="AR283" s="114"/>
      <c r="AS283" s="114"/>
      <c r="AT283" s="114"/>
      <c r="AU283" s="114"/>
      <c r="AV283" s="114"/>
      <c r="AW283" s="114"/>
      <c r="AX283" s="114"/>
      <c r="AY283" s="114"/>
      <c r="AZ283" s="114"/>
      <c r="BA283" s="114"/>
      <c r="BB283" s="114"/>
      <c r="BC283" s="114"/>
      <c r="BD283" s="114"/>
      <c r="BE283" s="114"/>
      <c r="BF283" s="114"/>
      <c r="BG283" s="114"/>
      <c r="BH283" s="114"/>
      <c r="BI283" s="114"/>
      <c r="BJ283" s="114"/>
      <c r="BK283" s="114"/>
      <c r="BL283" s="114"/>
      <c r="BM283" s="114"/>
      <c r="BN283" s="114"/>
    </row>
    <row r="284" spans="39:66" x14ac:dyDescent="0.2">
      <c r="AM284" s="146"/>
      <c r="AN284" s="146"/>
      <c r="AO284" s="146"/>
      <c r="AP284" s="146"/>
      <c r="AQ284" s="114"/>
      <c r="AR284" s="114"/>
      <c r="AS284" s="114"/>
      <c r="AT284" s="114"/>
      <c r="AU284" s="114"/>
      <c r="AV284" s="114"/>
      <c r="AW284" s="114"/>
      <c r="AX284" s="114"/>
      <c r="AY284" s="114"/>
      <c r="AZ284" s="114"/>
      <c r="BA284" s="114"/>
      <c r="BB284" s="114"/>
      <c r="BC284" s="114"/>
      <c r="BD284" s="114"/>
      <c r="BE284" s="114"/>
      <c r="BF284" s="114"/>
      <c r="BG284" s="114"/>
      <c r="BH284" s="114"/>
      <c r="BI284" s="114"/>
      <c r="BJ284" s="114"/>
      <c r="BK284" s="114"/>
      <c r="BL284" s="114"/>
      <c r="BM284" s="114"/>
      <c r="BN284" s="114"/>
    </row>
    <row r="285" spans="39:66" x14ac:dyDescent="0.2">
      <c r="AM285" s="146"/>
      <c r="AN285" s="146"/>
      <c r="AO285" s="146"/>
      <c r="AP285" s="146"/>
      <c r="AQ285" s="114"/>
      <c r="AR285" s="114"/>
      <c r="AS285" s="114"/>
      <c r="AT285" s="114"/>
      <c r="AU285" s="114"/>
      <c r="AV285" s="114"/>
      <c r="AW285" s="114"/>
      <c r="AX285" s="114"/>
      <c r="AY285" s="114"/>
      <c r="AZ285" s="114"/>
      <c r="BA285" s="114"/>
      <c r="BB285" s="114"/>
      <c r="BC285" s="114"/>
      <c r="BD285" s="114"/>
      <c r="BE285" s="114"/>
      <c r="BF285" s="114"/>
      <c r="BG285" s="114"/>
      <c r="BH285" s="114"/>
      <c r="BI285" s="114"/>
      <c r="BJ285" s="114"/>
      <c r="BK285" s="114"/>
      <c r="BL285" s="114"/>
      <c r="BM285" s="114"/>
      <c r="BN285" s="114"/>
    </row>
    <row r="286" spans="39:66" x14ac:dyDescent="0.2">
      <c r="AM286" s="146"/>
      <c r="AN286" s="146"/>
      <c r="AO286" s="146"/>
      <c r="AP286" s="146"/>
      <c r="AQ286" s="114"/>
      <c r="AR286" s="114"/>
      <c r="AS286" s="114"/>
      <c r="AT286" s="114"/>
      <c r="AU286" s="114"/>
      <c r="AV286" s="114"/>
      <c r="AW286" s="114"/>
      <c r="AX286" s="114"/>
      <c r="AY286" s="114"/>
      <c r="AZ286" s="114"/>
      <c r="BA286" s="114"/>
      <c r="BB286" s="114"/>
      <c r="BC286" s="114"/>
      <c r="BD286" s="114"/>
      <c r="BE286" s="114"/>
      <c r="BF286" s="114"/>
      <c r="BG286" s="114"/>
      <c r="BH286" s="114"/>
      <c r="BI286" s="114"/>
      <c r="BJ286" s="114"/>
      <c r="BK286" s="114"/>
      <c r="BL286" s="114"/>
      <c r="BM286" s="114"/>
      <c r="BN286" s="114"/>
    </row>
    <row r="287" spans="39:66" x14ac:dyDescent="0.2">
      <c r="AM287" s="146"/>
      <c r="AN287" s="146"/>
      <c r="AO287" s="146"/>
      <c r="AP287" s="146"/>
      <c r="AQ287" s="114"/>
      <c r="AR287" s="114"/>
      <c r="AS287" s="114"/>
      <c r="AT287" s="114"/>
      <c r="AU287" s="114"/>
      <c r="AV287" s="114"/>
      <c r="AW287" s="114"/>
      <c r="AX287" s="114"/>
      <c r="AY287" s="114"/>
      <c r="AZ287" s="114"/>
      <c r="BA287" s="114"/>
      <c r="BB287" s="114"/>
      <c r="BC287" s="114"/>
      <c r="BD287" s="114"/>
      <c r="BE287" s="114"/>
      <c r="BF287" s="114"/>
      <c r="BG287" s="114"/>
      <c r="BH287" s="114"/>
      <c r="BI287" s="114"/>
      <c r="BJ287" s="114"/>
      <c r="BK287" s="114"/>
      <c r="BL287" s="114"/>
      <c r="BM287" s="114"/>
      <c r="BN287" s="114"/>
    </row>
    <row r="288" spans="39:66" x14ac:dyDescent="0.2">
      <c r="AM288" s="146"/>
      <c r="AN288" s="146"/>
      <c r="AO288" s="146"/>
      <c r="AP288" s="146"/>
      <c r="AQ288" s="114"/>
      <c r="AR288" s="114"/>
      <c r="AS288" s="114"/>
      <c r="AT288" s="114"/>
      <c r="AU288" s="114"/>
      <c r="AV288" s="114"/>
      <c r="AW288" s="114"/>
      <c r="AX288" s="114"/>
      <c r="AY288" s="114"/>
      <c r="AZ288" s="114"/>
      <c r="BA288" s="114"/>
      <c r="BB288" s="114"/>
      <c r="BC288" s="114"/>
      <c r="BD288" s="114"/>
      <c r="BE288" s="114"/>
      <c r="BF288" s="114"/>
      <c r="BG288" s="114"/>
      <c r="BH288" s="114"/>
      <c r="BI288" s="114"/>
      <c r="BJ288" s="114"/>
      <c r="BK288" s="114"/>
      <c r="BL288" s="114"/>
      <c r="BM288" s="114"/>
      <c r="BN288" s="114"/>
    </row>
    <row r="289" spans="39:66" x14ac:dyDescent="0.2">
      <c r="AM289" s="146"/>
      <c r="AN289" s="146"/>
      <c r="AO289" s="146"/>
      <c r="AP289" s="146"/>
      <c r="AQ289" s="114"/>
      <c r="AR289" s="114"/>
      <c r="AS289" s="114"/>
      <c r="AT289" s="114"/>
      <c r="AU289" s="114"/>
      <c r="AV289" s="114"/>
      <c r="AW289" s="114"/>
      <c r="AX289" s="114"/>
      <c r="AY289" s="114"/>
      <c r="AZ289" s="114"/>
      <c r="BA289" s="114"/>
      <c r="BB289" s="114"/>
      <c r="BC289" s="114"/>
      <c r="BD289" s="114"/>
      <c r="BE289" s="114"/>
      <c r="BF289" s="114"/>
      <c r="BG289" s="114"/>
      <c r="BH289" s="114"/>
      <c r="BI289" s="114"/>
      <c r="BJ289" s="114"/>
      <c r="BK289" s="114"/>
      <c r="BL289" s="114"/>
      <c r="BM289" s="114"/>
      <c r="BN289" s="114"/>
    </row>
    <row r="290" spans="39:66" x14ac:dyDescent="0.2">
      <c r="AM290" s="146"/>
      <c r="AN290" s="146"/>
      <c r="AO290" s="146"/>
      <c r="AP290" s="146"/>
      <c r="AQ290" s="114"/>
      <c r="AR290" s="114"/>
      <c r="AS290" s="114"/>
      <c r="AT290" s="114"/>
      <c r="AU290" s="114"/>
      <c r="AV290" s="114"/>
      <c r="AW290" s="114"/>
      <c r="AX290" s="114"/>
      <c r="AY290" s="114"/>
      <c r="AZ290" s="114"/>
      <c r="BA290" s="114"/>
      <c r="BB290" s="114"/>
      <c r="BC290" s="114"/>
      <c r="BD290" s="114"/>
      <c r="BE290" s="114"/>
      <c r="BF290" s="114"/>
      <c r="BG290" s="114"/>
      <c r="BH290" s="114"/>
      <c r="BI290" s="114"/>
      <c r="BJ290" s="114"/>
      <c r="BK290" s="114"/>
      <c r="BL290" s="114"/>
      <c r="BM290" s="114"/>
      <c r="BN290" s="114"/>
    </row>
    <row r="291" spans="39:66" x14ac:dyDescent="0.2">
      <c r="AM291" s="146"/>
      <c r="AN291" s="146"/>
      <c r="AO291" s="146"/>
      <c r="AP291" s="146"/>
      <c r="AQ291" s="114"/>
      <c r="AR291" s="114"/>
      <c r="AS291" s="114"/>
      <c r="AT291" s="114"/>
      <c r="AU291" s="114"/>
      <c r="AV291" s="114"/>
      <c r="AW291" s="114"/>
      <c r="AX291" s="114"/>
      <c r="AY291" s="114"/>
      <c r="AZ291" s="114"/>
      <c r="BA291" s="114"/>
      <c r="BB291" s="114"/>
      <c r="BC291" s="114"/>
      <c r="BD291" s="114"/>
      <c r="BE291" s="114"/>
      <c r="BF291" s="114"/>
      <c r="BG291" s="114"/>
      <c r="BH291" s="114"/>
      <c r="BI291" s="114"/>
      <c r="BJ291" s="114"/>
      <c r="BK291" s="114"/>
      <c r="BL291" s="114"/>
      <c r="BM291" s="114"/>
      <c r="BN291" s="114"/>
    </row>
    <row r="292" spans="39:66" x14ac:dyDescent="0.2">
      <c r="AM292" s="146"/>
      <c r="AN292" s="146"/>
      <c r="AO292" s="146"/>
      <c r="AP292" s="146"/>
      <c r="AQ292" s="114"/>
      <c r="AR292" s="114"/>
      <c r="AS292" s="114"/>
      <c r="AT292" s="114"/>
      <c r="AU292" s="114"/>
      <c r="AV292" s="114"/>
      <c r="AW292" s="114"/>
      <c r="AX292" s="114"/>
      <c r="AY292" s="114"/>
      <c r="AZ292" s="114"/>
      <c r="BA292" s="114"/>
      <c r="BB292" s="114"/>
      <c r="BC292" s="114"/>
      <c r="BD292" s="114"/>
      <c r="BE292" s="114"/>
      <c r="BF292" s="114"/>
      <c r="BG292" s="114"/>
      <c r="BH292" s="114"/>
      <c r="BI292" s="114"/>
      <c r="BJ292" s="114"/>
      <c r="BK292" s="114"/>
      <c r="BL292" s="114"/>
      <c r="BM292" s="114"/>
      <c r="BN292" s="114"/>
    </row>
    <row r="293" spans="39:66" x14ac:dyDescent="0.2">
      <c r="AM293" s="146"/>
      <c r="AN293" s="146"/>
      <c r="AO293" s="146"/>
      <c r="AP293" s="146"/>
      <c r="AQ293" s="114"/>
      <c r="AR293" s="114"/>
      <c r="AS293" s="114"/>
      <c r="AT293" s="114"/>
      <c r="AU293" s="114"/>
      <c r="AV293" s="114"/>
      <c r="AW293" s="114"/>
      <c r="AX293" s="114"/>
      <c r="AY293" s="114"/>
      <c r="AZ293" s="114"/>
      <c r="BA293" s="114"/>
      <c r="BB293" s="114"/>
      <c r="BC293" s="114"/>
      <c r="BD293" s="114"/>
      <c r="BE293" s="114"/>
      <c r="BF293" s="114"/>
      <c r="BG293" s="114"/>
      <c r="BH293" s="114"/>
      <c r="BI293" s="114"/>
      <c r="BJ293" s="114"/>
      <c r="BK293" s="114"/>
      <c r="BL293" s="114"/>
      <c r="BM293" s="114"/>
      <c r="BN293" s="114"/>
    </row>
    <row r="294" spans="39:66" x14ac:dyDescent="0.2">
      <c r="AM294" s="146"/>
      <c r="AN294" s="146"/>
      <c r="AO294" s="146"/>
      <c r="AP294" s="146"/>
      <c r="AQ294" s="114"/>
      <c r="AR294" s="114"/>
      <c r="AS294" s="114"/>
      <c r="AT294" s="114"/>
      <c r="AU294" s="114"/>
      <c r="AV294" s="114"/>
      <c r="AW294" s="114"/>
      <c r="AX294" s="114"/>
      <c r="AY294" s="114"/>
      <c r="AZ294" s="114"/>
      <c r="BA294" s="114"/>
      <c r="BB294" s="114"/>
      <c r="BC294" s="114"/>
      <c r="BD294" s="114"/>
      <c r="BE294" s="114"/>
      <c r="BF294" s="114"/>
      <c r="BG294" s="114"/>
      <c r="BH294" s="114"/>
      <c r="BI294" s="114"/>
      <c r="BJ294" s="114"/>
      <c r="BK294" s="114"/>
      <c r="BL294" s="114"/>
      <c r="BM294" s="114"/>
      <c r="BN294" s="114"/>
    </row>
  </sheetData>
  <mergeCells count="5">
    <mergeCell ref="AQ4:AV4"/>
    <mergeCell ref="BI4:BL4"/>
    <mergeCell ref="BZ4:CC4"/>
    <mergeCell ref="CP4:CS4"/>
    <mergeCell ref="DF4:DI4"/>
  </mergeCells>
  <pageMargins left="0.74803149606299213" right="0.74803149606299213" top="0.98425196850393704" bottom="0.98425196850393704" header="0.51181102362204722" footer="0.51181102362204722"/>
  <pageSetup paperSize="9" scale="17" orientation="landscape"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5:M77"/>
  <sheetViews>
    <sheetView workbookViewId="0">
      <selection activeCell="J23" sqref="J23"/>
    </sheetView>
  </sheetViews>
  <sheetFormatPr defaultRowHeight="12.75" x14ac:dyDescent="0.2"/>
  <cols>
    <col min="2" max="2" width="30.5703125" customWidth="1"/>
    <col min="3" max="3" width="5.28515625" customWidth="1"/>
    <col min="4" max="4" width="11" customWidth="1"/>
    <col min="5" max="5" width="14" bestFit="1" customWidth="1"/>
    <col min="9" max="9" width="1.5703125" customWidth="1"/>
    <col min="10" max="10" width="8" customWidth="1"/>
  </cols>
  <sheetData>
    <row r="5" spans="2:13" x14ac:dyDescent="0.2">
      <c r="B5" s="169" t="s">
        <v>497</v>
      </c>
    </row>
    <row r="7" spans="2:13" x14ac:dyDescent="0.2">
      <c r="B7" s="193" t="s">
        <v>479</v>
      </c>
      <c r="C7" s="210"/>
      <c r="D7" s="194"/>
      <c r="E7" s="194"/>
      <c r="F7" s="194"/>
      <c r="G7" s="194"/>
      <c r="H7" s="195"/>
    </row>
    <row r="8" spans="2:13" x14ac:dyDescent="0.2">
      <c r="B8" s="196"/>
      <c r="C8" s="200"/>
      <c r="D8" s="197" t="s">
        <v>403</v>
      </c>
      <c r="E8" s="197" t="s">
        <v>404</v>
      </c>
      <c r="F8" s="197" t="s">
        <v>405</v>
      </c>
      <c r="G8" s="197" t="s">
        <v>406</v>
      </c>
      <c r="H8" s="198" t="s">
        <v>455</v>
      </c>
      <c r="J8" s="217" t="s">
        <v>2</v>
      </c>
    </row>
    <row r="9" spans="2:13" x14ac:dyDescent="0.2">
      <c r="B9" s="196"/>
      <c r="C9" s="200"/>
      <c r="D9" s="197" t="s">
        <v>470</v>
      </c>
      <c r="E9" s="197" t="s">
        <v>470</v>
      </c>
      <c r="F9" s="197" t="s">
        <v>470</v>
      </c>
      <c r="G9" s="197" t="s">
        <v>470</v>
      </c>
      <c r="H9" s="198" t="s">
        <v>470</v>
      </c>
      <c r="J9" s="197" t="s">
        <v>470</v>
      </c>
    </row>
    <row r="10" spans="2:13" x14ac:dyDescent="0.2">
      <c r="B10" s="199" t="s">
        <v>419</v>
      </c>
      <c r="C10" s="211"/>
      <c r="D10" s="200"/>
      <c r="E10" s="200"/>
      <c r="F10" s="200"/>
      <c r="G10" s="200"/>
      <c r="H10" s="201"/>
    </row>
    <row r="11" spans="2:13" x14ac:dyDescent="0.2">
      <c r="B11" s="196" t="s">
        <v>462</v>
      </c>
      <c r="C11" s="200"/>
      <c r="D11" s="202">
        <f>-'PCT Format'!BH188/1000000-'PCT Format'!BH193/1000000</f>
        <v>-342.68480451800002</v>
      </c>
      <c r="E11" s="202" t="e">
        <f>-'PCT Format'!BY188/1000000-'PCT Format'!BY193/1000000</f>
        <v>#REF!</v>
      </c>
      <c r="F11" s="202" t="e">
        <f>-'PCT Format'!CO188/1000000-'PCT Format'!CO193/1000000</f>
        <v>#REF!</v>
      </c>
      <c r="G11" s="202" t="e">
        <f>-'PCT Format'!DE188/1000000-'PCT Format'!DE193/1000000</f>
        <v>#REF!</v>
      </c>
      <c r="H11" s="203" t="e">
        <f>-'PCT Format'!DU188/1000000-'PCT Format'!DU193/1000000</f>
        <v>#REF!</v>
      </c>
      <c r="I11" s="190"/>
      <c r="J11" s="190"/>
      <c r="K11" s="190"/>
      <c r="L11" s="190"/>
      <c r="M11" s="190"/>
    </row>
    <row r="12" spans="2:13" x14ac:dyDescent="0.2">
      <c r="B12" s="204" t="s">
        <v>499</v>
      </c>
      <c r="C12" s="212"/>
      <c r="D12" s="202" t="e">
        <f>-'PCT Format'!BH189/1000000</f>
        <v>#REF!</v>
      </c>
      <c r="E12" s="202" t="e">
        <f>-'PCT Format'!BY189/1000000</f>
        <v>#REF!</v>
      </c>
      <c r="F12" s="202" t="e">
        <f>-'PCT Format'!CO189/1000000</f>
        <v>#REF!</v>
      </c>
      <c r="G12" s="202" t="e">
        <f>-'PCT Format'!DE189/1000000</f>
        <v>#REF!</v>
      </c>
      <c r="H12" s="203">
        <v>0</v>
      </c>
      <c r="I12" s="190"/>
      <c r="J12" s="190"/>
      <c r="K12" s="190"/>
      <c r="L12" s="190"/>
      <c r="M12" s="190"/>
    </row>
    <row r="13" spans="2:13" x14ac:dyDescent="0.2">
      <c r="B13" s="204" t="s">
        <v>451</v>
      </c>
      <c r="C13" s="200"/>
      <c r="D13" s="202">
        <v>0</v>
      </c>
      <c r="E13" s="202">
        <f>-'PCT Format'!BY191/1000000</f>
        <v>18.404</v>
      </c>
      <c r="F13" s="202">
        <v>0</v>
      </c>
      <c r="G13" s="202">
        <v>0</v>
      </c>
      <c r="H13" s="203">
        <v>0</v>
      </c>
      <c r="I13" s="190"/>
      <c r="J13" s="190"/>
      <c r="K13" s="190"/>
      <c r="L13" s="190"/>
      <c r="M13" s="190"/>
    </row>
    <row r="14" spans="2:13" x14ac:dyDescent="0.2">
      <c r="B14" s="205" t="s">
        <v>468</v>
      </c>
      <c r="C14" s="214" t="s">
        <v>473</v>
      </c>
      <c r="D14" s="191" t="e">
        <f>SUM(D11:D13)</f>
        <v>#REF!</v>
      </c>
      <c r="E14" s="191" t="e">
        <f t="shared" ref="E14:H14" si="0">SUM(E11:E13)</f>
        <v>#REF!</v>
      </c>
      <c r="F14" s="191" t="e">
        <f t="shared" si="0"/>
        <v>#REF!</v>
      </c>
      <c r="G14" s="191" t="e">
        <f t="shared" si="0"/>
        <v>#REF!</v>
      </c>
      <c r="H14" s="206" t="e">
        <f t="shared" si="0"/>
        <v>#REF!</v>
      </c>
      <c r="I14" s="190"/>
      <c r="J14" s="190"/>
      <c r="K14" s="190"/>
      <c r="L14" s="190"/>
      <c r="M14" s="190"/>
    </row>
    <row r="15" spans="2:13" x14ac:dyDescent="0.2">
      <c r="B15" s="196"/>
      <c r="C15" s="215"/>
      <c r="D15" s="202"/>
      <c r="E15" s="202"/>
      <c r="F15" s="202"/>
      <c r="G15" s="202"/>
      <c r="H15" s="203"/>
      <c r="I15" s="190"/>
      <c r="J15" s="190"/>
      <c r="K15" s="190"/>
      <c r="L15" s="190"/>
      <c r="M15" s="190"/>
    </row>
    <row r="16" spans="2:13" x14ac:dyDescent="0.2">
      <c r="B16" s="199" t="s">
        <v>422</v>
      </c>
      <c r="C16" s="216"/>
      <c r="D16" s="202"/>
      <c r="E16" s="202"/>
      <c r="F16" s="202"/>
      <c r="G16" s="202"/>
      <c r="H16" s="203"/>
      <c r="I16" s="190"/>
      <c r="J16" s="190"/>
      <c r="K16" s="190"/>
      <c r="L16" s="190"/>
      <c r="M16" s="190"/>
    </row>
    <row r="17" spans="2:13" x14ac:dyDescent="0.2">
      <c r="B17" s="196" t="s">
        <v>464</v>
      </c>
      <c r="C17" s="215"/>
      <c r="D17" s="202" t="e">
        <f>+'PCT Format'!BH186/1000000-'PCT Format'!BH182/1000000</f>
        <v>#REF!</v>
      </c>
      <c r="E17" s="202" t="e">
        <f>+'PCT Format'!BY186/1000000-'PCT Format'!BW182/1000000-'PCT Format'!BX179/1000000</f>
        <v>#REF!</v>
      </c>
      <c r="F17" s="202" t="e">
        <f>+'PCT Format'!CO186/1000000-'PCT Format'!CN182/1000000</f>
        <v>#REF!</v>
      </c>
      <c r="G17" s="202" t="e">
        <f>+'PCT Format'!DE186/1000000-'PCT Format'!DD182/1000000</f>
        <v>#REF!</v>
      </c>
      <c r="H17" s="203" t="e">
        <f>+'PCT Format'!DU186/1000000-'PCT Format'!DT182/1000000</f>
        <v>#REF!</v>
      </c>
      <c r="I17" s="190"/>
      <c r="J17" s="190"/>
      <c r="K17" s="190"/>
      <c r="L17" s="190"/>
      <c r="M17" s="190"/>
    </row>
    <row r="18" spans="2:13" x14ac:dyDescent="0.2">
      <c r="B18" s="204" t="s">
        <v>451</v>
      </c>
      <c r="C18" s="215"/>
      <c r="D18" s="202">
        <v>0</v>
      </c>
      <c r="E18" s="202" t="e">
        <f>+'PCT Format'!BX179/1000000</f>
        <v>#REF!</v>
      </c>
      <c r="F18" s="202">
        <v>0</v>
      </c>
      <c r="G18" s="202">
        <v>0</v>
      </c>
      <c r="H18" s="203">
        <v>0</v>
      </c>
      <c r="I18" s="190"/>
      <c r="J18" s="190"/>
      <c r="K18" s="190"/>
      <c r="L18" s="190"/>
      <c r="M18" s="190"/>
    </row>
    <row r="19" spans="2:13" x14ac:dyDescent="0.2">
      <c r="B19" s="205" t="s">
        <v>469</v>
      </c>
      <c r="C19" s="214" t="s">
        <v>474</v>
      </c>
      <c r="D19" s="191" t="e">
        <f>+D17+D18</f>
        <v>#REF!</v>
      </c>
      <c r="E19" s="191" t="e">
        <f t="shared" ref="E19:H19" si="1">+E17+E18</f>
        <v>#REF!</v>
      </c>
      <c r="F19" s="191" t="e">
        <f t="shared" si="1"/>
        <v>#REF!</v>
      </c>
      <c r="G19" s="191" t="e">
        <f t="shared" si="1"/>
        <v>#REF!</v>
      </c>
      <c r="H19" s="206" t="e">
        <f t="shared" si="1"/>
        <v>#REF!</v>
      </c>
      <c r="I19" s="190"/>
      <c r="J19" s="190"/>
      <c r="K19" s="190"/>
      <c r="L19" s="190"/>
      <c r="M19" s="190"/>
    </row>
    <row r="20" spans="2:13" x14ac:dyDescent="0.2">
      <c r="B20" s="196"/>
      <c r="C20" s="215"/>
      <c r="D20" s="202"/>
      <c r="E20" s="202"/>
      <c r="F20" s="202"/>
      <c r="G20" s="202"/>
      <c r="H20" s="203"/>
      <c r="I20" s="190"/>
      <c r="J20" s="190"/>
      <c r="K20" s="190"/>
      <c r="L20" s="190"/>
      <c r="M20" s="190"/>
    </row>
    <row r="21" spans="2:13" x14ac:dyDescent="0.2">
      <c r="B21" s="204" t="s">
        <v>502</v>
      </c>
      <c r="C21" s="197"/>
      <c r="D21" s="202"/>
      <c r="E21" s="202"/>
      <c r="F21" s="202"/>
      <c r="G21" s="202"/>
      <c r="H21" s="203"/>
      <c r="I21" s="190"/>
      <c r="J21" s="190"/>
      <c r="K21" s="190"/>
      <c r="L21" s="190"/>
      <c r="M21" s="190"/>
    </row>
    <row r="22" spans="2:13" x14ac:dyDescent="0.2">
      <c r="B22" s="204" t="s">
        <v>467</v>
      </c>
      <c r="C22" s="197" t="s">
        <v>475</v>
      </c>
      <c r="D22" s="202" t="e">
        <f>-'PCT Format'!BC186/1000000</f>
        <v>#REF!</v>
      </c>
      <c r="E22" s="202" t="e">
        <f>-'PCT Format'!BS186/1000000</f>
        <v>#REF!</v>
      </c>
      <c r="F22" s="202" t="e">
        <f>-'PCT Format'!CJ186/1000000</f>
        <v>#REF!</v>
      </c>
      <c r="G22" s="202" t="e">
        <f>-'PCT Format'!CZ186/1000000</f>
        <v>#REF!</v>
      </c>
      <c r="H22" s="203" t="e">
        <f>-'PCT Format'!DP186/1000000</f>
        <v>#REF!</v>
      </c>
      <c r="I22" s="190"/>
      <c r="J22" s="190" t="e">
        <f>SUM(D22:H22)</f>
        <v>#REF!</v>
      </c>
      <c r="K22" s="190"/>
      <c r="L22" s="190"/>
      <c r="M22" s="190"/>
    </row>
    <row r="23" spans="2:13" x14ac:dyDescent="0.2">
      <c r="B23" s="204" t="s">
        <v>466</v>
      </c>
      <c r="C23" s="197" t="s">
        <v>476</v>
      </c>
      <c r="D23" s="202" t="e">
        <f>+'PCT Format'!BG182/1000000-'Summ £m'!D22</f>
        <v>#REF!</v>
      </c>
      <c r="E23" s="202" t="e">
        <f>+'PCT Format'!BW182/1000000-'Summ £m'!E22</f>
        <v>#REF!</v>
      </c>
      <c r="F23" s="202" t="e">
        <f>+'PCT Format'!CN182/1000000-'Summ £m'!F22</f>
        <v>#REF!</v>
      </c>
      <c r="G23" s="202" t="e">
        <f>+'PCT Format'!DD182/1000000-'Summ £m'!G22</f>
        <v>#REF!</v>
      </c>
      <c r="H23" s="203" t="e">
        <f>+'PCT Format'!DT182/1000000-'Summ £m'!H22</f>
        <v>#REF!</v>
      </c>
      <c r="I23" s="190"/>
      <c r="J23" s="190" t="e">
        <f>SUM(D23:H23)</f>
        <v>#REF!</v>
      </c>
      <c r="K23" s="190"/>
      <c r="L23" s="190"/>
      <c r="M23" s="190"/>
    </row>
    <row r="24" spans="2:13" x14ac:dyDescent="0.2">
      <c r="B24" s="205" t="s">
        <v>454</v>
      </c>
      <c r="C24" s="192"/>
      <c r="D24" s="191" t="e">
        <f>+D22+D23</f>
        <v>#REF!</v>
      </c>
      <c r="E24" s="191" t="e">
        <f t="shared" ref="E24:J24" si="2">+E22+E23</f>
        <v>#REF!</v>
      </c>
      <c r="F24" s="191" t="e">
        <f t="shared" si="2"/>
        <v>#REF!</v>
      </c>
      <c r="G24" s="191" t="e">
        <f t="shared" si="2"/>
        <v>#REF!</v>
      </c>
      <c r="H24" s="206" t="e">
        <f t="shared" si="2"/>
        <v>#REF!</v>
      </c>
      <c r="I24" s="190"/>
      <c r="J24" s="191" t="e">
        <f t="shared" si="2"/>
        <v>#REF!</v>
      </c>
      <c r="K24" s="190"/>
      <c r="L24" s="190"/>
      <c r="M24" s="190"/>
    </row>
    <row r="25" spans="2:13" x14ac:dyDescent="0.2">
      <c r="B25" s="196"/>
      <c r="C25" s="200"/>
      <c r="D25" s="202"/>
      <c r="E25" s="202"/>
      <c r="F25" s="202"/>
      <c r="G25" s="202"/>
      <c r="H25" s="203"/>
      <c r="I25" s="190"/>
      <c r="J25" s="190"/>
      <c r="K25" s="190"/>
      <c r="L25" s="190"/>
      <c r="M25" s="190"/>
    </row>
    <row r="26" spans="2:13" x14ac:dyDescent="0.2">
      <c r="B26" s="207" t="s">
        <v>472</v>
      </c>
      <c r="C26" s="213"/>
      <c r="D26" s="208" t="e">
        <f>+D14+D19+D24</f>
        <v>#REF!</v>
      </c>
      <c r="E26" s="208" t="e">
        <f>+E14+E19+E24</f>
        <v>#REF!</v>
      </c>
      <c r="F26" s="208" t="e">
        <f t="shared" ref="F26:H26" si="3">+F14+F19+F24</f>
        <v>#REF!</v>
      </c>
      <c r="G26" s="208" t="e">
        <f t="shared" si="3"/>
        <v>#REF!</v>
      </c>
      <c r="H26" s="209" t="e">
        <f t="shared" si="3"/>
        <v>#REF!</v>
      </c>
      <c r="I26" s="190"/>
      <c r="J26" s="190"/>
      <c r="K26" s="190"/>
      <c r="L26" s="190"/>
      <c r="M26" s="190"/>
    </row>
    <row r="27" spans="2:13" x14ac:dyDescent="0.2">
      <c r="D27" s="190">
        <f>-339.6*0.02</f>
        <v>-6.7920000000000007</v>
      </c>
      <c r="E27" s="190">
        <f>-343*0.02</f>
        <v>-6.86</v>
      </c>
      <c r="F27" s="190">
        <f>-334.5*0.02</f>
        <v>-6.69</v>
      </c>
      <c r="G27" s="190">
        <f>-336.2*0.02</f>
        <v>-6.7240000000000002</v>
      </c>
      <c r="H27" s="190">
        <f>-336.2*0.02</f>
        <v>-6.7240000000000002</v>
      </c>
      <c r="I27" s="190"/>
      <c r="J27" s="190"/>
      <c r="K27" s="190"/>
      <c r="L27" s="190"/>
      <c r="M27" s="190"/>
    </row>
    <row r="28" spans="2:13" x14ac:dyDescent="0.2">
      <c r="B28" s="167" t="s">
        <v>498</v>
      </c>
      <c r="D28" s="190"/>
      <c r="E28" s="190"/>
      <c r="F28" s="190"/>
      <c r="G28" s="190"/>
      <c r="H28" s="190"/>
      <c r="I28" s="190"/>
      <c r="J28" s="190"/>
      <c r="K28" s="190"/>
      <c r="L28" s="190"/>
      <c r="M28" s="190"/>
    </row>
    <row r="29" spans="2:13" x14ac:dyDescent="0.2">
      <c r="B29" s="224" t="s">
        <v>503</v>
      </c>
      <c r="D29" s="190"/>
      <c r="E29" s="190"/>
      <c r="F29" s="190"/>
      <c r="G29" s="190"/>
      <c r="H29" s="190"/>
      <c r="I29" s="190"/>
      <c r="J29" s="190"/>
      <c r="K29" s="190"/>
      <c r="L29" s="190"/>
      <c r="M29" s="190"/>
    </row>
    <row r="30" spans="2:13" x14ac:dyDescent="0.2">
      <c r="B30" s="224" t="s">
        <v>500</v>
      </c>
      <c r="D30" s="190"/>
      <c r="E30" s="190"/>
      <c r="F30" s="190"/>
      <c r="G30" s="190"/>
      <c r="H30" s="190"/>
      <c r="I30" s="190"/>
      <c r="J30" s="190"/>
      <c r="K30" s="190"/>
      <c r="L30" s="190"/>
      <c r="M30" s="190"/>
    </row>
    <row r="31" spans="2:13" x14ac:dyDescent="0.2">
      <c r="B31" s="224" t="s">
        <v>501</v>
      </c>
      <c r="D31" s="190"/>
      <c r="E31" s="190"/>
      <c r="F31" s="190"/>
      <c r="G31" s="190"/>
      <c r="H31" s="190"/>
      <c r="I31" s="190"/>
      <c r="J31" s="190"/>
      <c r="K31" s="190"/>
      <c r="L31" s="190"/>
      <c r="M31" s="190"/>
    </row>
    <row r="32" spans="2:13" x14ac:dyDescent="0.2">
      <c r="D32" s="190"/>
      <c r="E32" s="190"/>
      <c r="F32" s="190"/>
      <c r="G32" s="190"/>
      <c r="H32" s="190"/>
      <c r="I32" s="190"/>
      <c r="J32" s="190"/>
      <c r="K32" s="190"/>
      <c r="L32" s="190"/>
      <c r="M32" s="190"/>
    </row>
    <row r="33" spans="2:8" x14ac:dyDescent="0.2">
      <c r="B33" s="169" t="s">
        <v>477</v>
      </c>
    </row>
    <row r="34" spans="2:8" x14ac:dyDescent="0.2">
      <c r="B34" t="s">
        <v>478</v>
      </c>
    </row>
    <row r="36" spans="2:8" x14ac:dyDescent="0.2">
      <c r="B36" s="167" t="s">
        <v>480</v>
      </c>
      <c r="D36" s="202">
        <v>-1.7</v>
      </c>
      <c r="E36" s="202">
        <v>-5.2</v>
      </c>
      <c r="F36" s="202">
        <v>0</v>
      </c>
      <c r="G36" s="202">
        <v>0</v>
      </c>
      <c r="H36" s="202">
        <v>0</v>
      </c>
    </row>
    <row r="37" spans="2:8" x14ac:dyDescent="0.2">
      <c r="B37" s="167" t="s">
        <v>481</v>
      </c>
      <c r="D37" s="202">
        <v>0</v>
      </c>
      <c r="E37" s="202">
        <v>-15</v>
      </c>
      <c r="F37" s="202">
        <v>0</v>
      </c>
      <c r="G37" s="202">
        <v>0</v>
      </c>
      <c r="H37" s="202">
        <v>0</v>
      </c>
    </row>
    <row r="38" spans="2:8" x14ac:dyDescent="0.2">
      <c r="B38" s="167" t="s">
        <v>482</v>
      </c>
      <c r="D38" s="202">
        <v>2.5</v>
      </c>
      <c r="E38" s="202">
        <v>14.5</v>
      </c>
      <c r="F38" s="202">
        <v>0</v>
      </c>
      <c r="G38" s="202">
        <v>0</v>
      </c>
      <c r="H38" s="202">
        <v>0</v>
      </c>
    </row>
    <row r="39" spans="2:8" x14ac:dyDescent="0.2">
      <c r="B39" s="210" t="s">
        <v>483</v>
      </c>
      <c r="C39" s="210"/>
      <c r="D39" s="218">
        <f>SUM(D36:D38)</f>
        <v>0.8</v>
      </c>
      <c r="E39" s="218">
        <f>SUM(E36:E38)</f>
        <v>-5.6999999999999993</v>
      </c>
      <c r="F39" s="218">
        <f t="shared" ref="F39:H39" si="4">SUM(F36:F38)</f>
        <v>0</v>
      </c>
      <c r="G39" s="218">
        <f t="shared" si="4"/>
        <v>0</v>
      </c>
      <c r="H39" s="218">
        <f t="shared" si="4"/>
        <v>0</v>
      </c>
    </row>
    <row r="40" spans="2:8" x14ac:dyDescent="0.2">
      <c r="D40" s="202"/>
      <c r="E40" s="202"/>
      <c r="F40" s="202"/>
      <c r="G40" s="202"/>
      <c r="H40" s="202"/>
    </row>
    <row r="41" spans="2:8" x14ac:dyDescent="0.2">
      <c r="B41" s="167" t="s">
        <v>484</v>
      </c>
      <c r="D41" s="219" t="e">
        <f>+D22-D39</f>
        <v>#REF!</v>
      </c>
      <c r="E41" s="219" t="e">
        <f>+E22-E39</f>
        <v>#REF!</v>
      </c>
      <c r="F41" s="219" t="e">
        <f>+F22-F39</f>
        <v>#REF!</v>
      </c>
      <c r="G41" s="219" t="e">
        <f>+G22-G39</f>
        <v>#REF!</v>
      </c>
      <c r="H41" s="219" t="e">
        <f>+H22-H39</f>
        <v>#REF!</v>
      </c>
    </row>
    <row r="62" spans="2:8" x14ac:dyDescent="0.2">
      <c r="B62" s="193" t="s">
        <v>479</v>
      </c>
      <c r="C62" s="210"/>
      <c r="D62" s="194"/>
      <c r="E62" s="194"/>
      <c r="F62" s="194"/>
      <c r="G62" s="194"/>
      <c r="H62" s="195"/>
    </row>
    <row r="63" spans="2:8" x14ac:dyDescent="0.2">
      <c r="B63" s="196"/>
      <c r="C63" s="200"/>
      <c r="D63" s="197" t="s">
        <v>403</v>
      </c>
      <c r="E63" s="197" t="s">
        <v>404</v>
      </c>
      <c r="F63" s="197" t="s">
        <v>405</v>
      </c>
      <c r="G63" s="197" t="s">
        <v>406</v>
      </c>
      <c r="H63" s="198" t="s">
        <v>455</v>
      </c>
    </row>
    <row r="64" spans="2:8" x14ac:dyDescent="0.2">
      <c r="B64" s="196"/>
      <c r="C64" s="200"/>
      <c r="D64" s="197" t="s">
        <v>470</v>
      </c>
      <c r="E64" s="197" t="s">
        <v>470</v>
      </c>
      <c r="F64" s="197" t="s">
        <v>470</v>
      </c>
      <c r="G64" s="197" t="s">
        <v>470</v>
      </c>
      <c r="H64" s="198" t="s">
        <v>470</v>
      </c>
    </row>
    <row r="65" spans="2:8" x14ac:dyDescent="0.2">
      <c r="B65" s="222" t="s">
        <v>419</v>
      </c>
      <c r="C65" s="211"/>
      <c r="D65" s="200"/>
      <c r="E65" s="200"/>
      <c r="F65" s="200"/>
      <c r="G65" s="200"/>
      <c r="H65" s="201"/>
    </row>
    <row r="66" spans="2:8" x14ac:dyDescent="0.2">
      <c r="B66" s="204" t="s">
        <v>468</v>
      </c>
      <c r="C66" s="197"/>
      <c r="D66" s="202">
        <v>-346.08000000000004</v>
      </c>
      <c r="E66" s="202">
        <v>-339.29</v>
      </c>
      <c r="F66" s="202">
        <v>-340.95000000000005</v>
      </c>
      <c r="G66" s="202">
        <v>-342.62000000000006</v>
      </c>
      <c r="H66" s="203">
        <v>-342.62000000000006</v>
      </c>
    </row>
    <row r="67" spans="2:8" x14ac:dyDescent="0.2">
      <c r="B67" s="196"/>
      <c r="C67" s="215"/>
      <c r="D67" s="202"/>
      <c r="E67" s="202"/>
      <c r="F67" s="202"/>
      <c r="G67" s="202"/>
      <c r="H67" s="203"/>
    </row>
    <row r="68" spans="2:8" x14ac:dyDescent="0.2">
      <c r="B68" s="222" t="s">
        <v>422</v>
      </c>
      <c r="C68" s="216"/>
      <c r="D68" s="202"/>
      <c r="E68" s="202"/>
      <c r="F68" s="202"/>
      <c r="G68" s="202"/>
      <c r="H68" s="203"/>
    </row>
    <row r="69" spans="2:8" x14ac:dyDescent="0.2">
      <c r="B69" s="204" t="s">
        <v>469</v>
      </c>
      <c r="C69" s="197"/>
      <c r="D69" s="202">
        <v>354.15</v>
      </c>
      <c r="E69" s="202">
        <v>345.67</v>
      </c>
      <c r="F69" s="202">
        <v>344.32</v>
      </c>
      <c r="G69" s="202">
        <v>346.09</v>
      </c>
      <c r="H69" s="203">
        <v>347.89</v>
      </c>
    </row>
    <row r="70" spans="2:8" x14ac:dyDescent="0.2">
      <c r="B70" s="196"/>
      <c r="C70" s="215"/>
      <c r="D70" s="202"/>
      <c r="E70" s="202"/>
      <c r="F70" s="202"/>
      <c r="G70" s="202"/>
      <c r="H70" s="203"/>
    </row>
    <row r="71" spans="2:8" x14ac:dyDescent="0.2">
      <c r="B71" s="223" t="s">
        <v>465</v>
      </c>
      <c r="C71" s="197"/>
      <c r="D71" s="202"/>
      <c r="E71" s="202"/>
      <c r="F71" s="202"/>
      <c r="G71" s="202"/>
      <c r="H71" s="203"/>
    </row>
    <row r="72" spans="2:8" x14ac:dyDescent="0.2">
      <c r="B72" s="204" t="s">
        <v>467</v>
      </c>
      <c r="C72" s="197"/>
      <c r="D72" s="202">
        <v>-6.68</v>
      </c>
      <c r="E72" s="202">
        <v>-6.86</v>
      </c>
      <c r="F72" s="202">
        <v>-6.98</v>
      </c>
      <c r="G72" s="202">
        <v>-7.17</v>
      </c>
      <c r="H72" s="203">
        <v>-7.37</v>
      </c>
    </row>
    <row r="73" spans="2:8" x14ac:dyDescent="0.2">
      <c r="B73" s="204" t="s">
        <v>496</v>
      </c>
      <c r="C73" s="197"/>
      <c r="D73" s="202">
        <v>-8.18</v>
      </c>
      <c r="E73" s="202">
        <v>-6.18</v>
      </c>
      <c r="F73" s="202">
        <v>-3.07</v>
      </c>
      <c r="G73" s="202">
        <v>-3.02</v>
      </c>
      <c r="H73" s="203">
        <v>-4.62</v>
      </c>
    </row>
    <row r="74" spans="2:8" x14ac:dyDescent="0.2">
      <c r="B74" s="205" t="s">
        <v>454</v>
      </c>
      <c r="C74" s="192"/>
      <c r="D74" s="191">
        <v>-14.86</v>
      </c>
      <c r="E74" s="191">
        <v>-13.04</v>
      </c>
      <c r="F74" s="191">
        <v>-10.050000000000001</v>
      </c>
      <c r="G74" s="191">
        <v>-10.19</v>
      </c>
      <c r="H74" s="206">
        <v>-11.99</v>
      </c>
    </row>
    <row r="75" spans="2:8" ht="6" customHeight="1" x14ac:dyDescent="0.2">
      <c r="B75" s="196"/>
      <c r="C75" s="200"/>
      <c r="D75" s="202"/>
      <c r="E75" s="202"/>
      <c r="F75" s="202"/>
      <c r="G75" s="202"/>
      <c r="H75" s="203"/>
    </row>
    <row r="76" spans="2:8" ht="7.5" customHeight="1" x14ac:dyDescent="0.2">
      <c r="B76" s="204"/>
      <c r="C76" s="212"/>
      <c r="D76" s="202"/>
      <c r="E76" s="202"/>
      <c r="F76" s="202"/>
      <c r="G76" s="202"/>
      <c r="H76" s="203"/>
    </row>
    <row r="77" spans="2:8" x14ac:dyDescent="0.2">
      <c r="B77" s="207" t="s">
        <v>471</v>
      </c>
      <c r="C77" s="213"/>
      <c r="D77" s="208">
        <v>-6.7924000000000007</v>
      </c>
      <c r="E77" s="208">
        <v>-6.6560000000000006</v>
      </c>
      <c r="F77" s="208">
        <v>-6.6898</v>
      </c>
      <c r="G77" s="208">
        <v>-6.7232000000000003</v>
      </c>
      <c r="H77" s="209">
        <v>-6.7232000000000003</v>
      </c>
    </row>
  </sheetData>
  <pageMargins left="0.7" right="0.7" top="0.75" bottom="0.75" header="0.3" footer="0.3"/>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8</vt:i4>
      </vt:variant>
    </vt:vector>
  </HeadingPairs>
  <TitlesOfParts>
    <vt:vector size="20" baseType="lpstr">
      <vt:lpstr>Appendix 1</vt:lpstr>
      <vt:lpstr>Appendix 2</vt:lpstr>
      <vt:lpstr>Appendix 3</vt:lpstr>
      <vt:lpstr>Appendix 4a</vt:lpstr>
      <vt:lpstr>Appendix 4b</vt:lpstr>
      <vt:lpstr>Appendix 4c</vt:lpstr>
      <vt:lpstr>Appendix 5</vt:lpstr>
      <vt:lpstr>PCT Format</vt:lpstr>
      <vt:lpstr>Summ £m</vt:lpstr>
      <vt:lpstr>Sheet1</vt:lpstr>
      <vt:lpstr>Sheet2</vt:lpstr>
      <vt:lpstr>Sheet3</vt:lpstr>
      <vt:lpstr>'Appendix 1'!Print_Area</vt:lpstr>
      <vt:lpstr>'Appendix 2'!Print_Area</vt:lpstr>
      <vt:lpstr>'Appendix 3'!Print_Area</vt:lpstr>
      <vt:lpstr>'Appendix 4c'!Print_Area</vt:lpstr>
      <vt:lpstr>'PCT Format'!Print_Area</vt:lpstr>
      <vt:lpstr>Sheet2!Print_Area</vt:lpstr>
      <vt:lpstr>'Summ £m'!Print_Area</vt:lpstr>
      <vt:lpstr>'PCT Format'!Print_Titles</vt:lpstr>
    </vt:vector>
  </TitlesOfParts>
  <Company>Stockport PCT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rharmstone</dc:creator>
  <cp:lastModifiedBy>Hayes Louise (5F7) Stockport PCT</cp:lastModifiedBy>
  <cp:lastPrinted>2014-03-28T12:49:34Z</cp:lastPrinted>
  <dcterms:created xsi:type="dcterms:W3CDTF">2013-01-03T15:59:51Z</dcterms:created>
  <dcterms:modified xsi:type="dcterms:W3CDTF">2014-03-28T15:58:30Z</dcterms:modified>
</cp:coreProperties>
</file>